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20730" windowHeight="6135" tabRatio="864"/>
  </bookViews>
  <sheets>
    <sheet name="DANE" sheetId="1" r:id="rId1"/>
    <sheet name="obliczenia" sheetId="2" r:id="rId2"/>
    <sheet name="Ilość_biogazu_MEZO" sheetId="4" r:id="rId3"/>
    <sheet name="Ilość_biogazu_TERMO" sheetId="5" r:id="rId4"/>
    <sheet name="Wskazniki_MEZO" sheetId="8" r:id="rId5"/>
    <sheet name="Wskazniki_TERMO" sheetId="9" r:id="rId6"/>
    <sheet name="Jakosc osadu_MEZO" sheetId="6" r:id="rId7"/>
    <sheet name="Jakosc osadu_TERMO" sheetId="16" r:id="rId8"/>
    <sheet name="Redukcje_MEZO" sheetId="11" r:id="rId9"/>
    <sheet name="Redukcje_TERMO" sheetId="10" r:id="rId10"/>
    <sheet name="GAZ_MEZO" sheetId="12" r:id="rId11"/>
    <sheet name="GAZ_TERMO" sheetId="13" r:id="rId12"/>
    <sheet name="roboczy (2)" sheetId="19" r:id="rId13"/>
    <sheet name="roboczy" sheetId="17" r:id="rId14"/>
  </sheets>
  <calcPr calcId="145621"/>
</workbook>
</file>

<file path=xl/calcChain.xml><?xml version="1.0" encoding="utf-8"?>
<calcChain xmlns="http://schemas.openxmlformats.org/spreadsheetml/2006/main">
  <c r="X114" i="2" l="1"/>
  <c r="Y114" i="2"/>
  <c r="Z114" i="2"/>
  <c r="AA114" i="2"/>
  <c r="X115" i="2"/>
  <c r="Y115" i="2"/>
  <c r="Z115" i="2"/>
  <c r="AA115" i="2"/>
  <c r="X116" i="2"/>
  <c r="Y116" i="2"/>
  <c r="Z116" i="2"/>
  <c r="AA116" i="2"/>
  <c r="W116" i="2"/>
  <c r="W115" i="2"/>
  <c r="W114" i="2"/>
  <c r="AC108" i="2"/>
  <c r="X108" i="2"/>
  <c r="Y108" i="2"/>
  <c r="Z108" i="2"/>
  <c r="AA108" i="2"/>
  <c r="AB108" i="2"/>
  <c r="X109" i="2"/>
  <c r="Y109" i="2"/>
  <c r="Z109" i="2"/>
  <c r="AA109" i="2"/>
  <c r="AB109" i="2"/>
  <c r="X110" i="2"/>
  <c r="Y110" i="2"/>
  <c r="Z110" i="2"/>
  <c r="AA110" i="2"/>
  <c r="AB110" i="2"/>
  <c r="W110" i="2"/>
  <c r="W109" i="2"/>
  <c r="W108" i="2"/>
  <c r="L114" i="2"/>
  <c r="M114" i="2"/>
  <c r="N114" i="2"/>
  <c r="O114" i="2"/>
  <c r="L115" i="2"/>
  <c r="M115" i="2"/>
  <c r="N115" i="2"/>
  <c r="O115" i="2"/>
  <c r="L116" i="2"/>
  <c r="M116" i="2"/>
  <c r="N116" i="2"/>
  <c r="O116" i="2"/>
  <c r="K116" i="2"/>
  <c r="K115" i="2"/>
  <c r="K114" i="2"/>
  <c r="Q108" i="2"/>
  <c r="L108" i="2"/>
  <c r="M108" i="2"/>
  <c r="N108" i="2"/>
  <c r="O108" i="2"/>
  <c r="P108" i="2"/>
  <c r="L109" i="2"/>
  <c r="M109" i="2"/>
  <c r="N109" i="2"/>
  <c r="O109" i="2"/>
  <c r="P109" i="2"/>
  <c r="L110" i="2"/>
  <c r="M110" i="2"/>
  <c r="N110" i="2"/>
  <c r="O110" i="2"/>
  <c r="P110" i="2"/>
  <c r="K110" i="2"/>
  <c r="K109" i="2"/>
  <c r="K108" i="2"/>
  <c r="X98" i="2"/>
  <c r="Y98" i="2"/>
  <c r="Z98" i="2"/>
  <c r="AA98" i="2"/>
  <c r="X99" i="2"/>
  <c r="Y99" i="2"/>
  <c r="Z99" i="2"/>
  <c r="AA99" i="2"/>
  <c r="X100" i="2"/>
  <c r="Y100" i="2"/>
  <c r="Z100" i="2"/>
  <c r="AA100" i="2"/>
  <c r="W100" i="2"/>
  <c r="W99" i="2"/>
  <c r="W98" i="2"/>
  <c r="AC92" i="2"/>
  <c r="X92" i="2"/>
  <c r="Y92" i="2"/>
  <c r="Z92" i="2"/>
  <c r="AA92" i="2"/>
  <c r="AB92" i="2"/>
  <c r="X93" i="2"/>
  <c r="Y93" i="2"/>
  <c r="Z93" i="2"/>
  <c r="AA93" i="2"/>
  <c r="AB93" i="2"/>
  <c r="X94" i="2"/>
  <c r="Y94" i="2"/>
  <c r="Z94" i="2"/>
  <c r="AA94" i="2"/>
  <c r="AB94" i="2"/>
  <c r="W94" i="2"/>
  <c r="W93" i="2"/>
  <c r="W92" i="2"/>
  <c r="L98" i="2"/>
  <c r="M98" i="2"/>
  <c r="N98" i="2"/>
  <c r="O98" i="2"/>
  <c r="L99" i="2"/>
  <c r="M99" i="2"/>
  <c r="N99" i="2"/>
  <c r="O99" i="2"/>
  <c r="L100" i="2"/>
  <c r="M100" i="2"/>
  <c r="N100" i="2"/>
  <c r="O100" i="2"/>
  <c r="K100" i="2"/>
  <c r="K99" i="2"/>
  <c r="K98" i="2"/>
  <c r="Q92" i="2"/>
  <c r="L92" i="2"/>
  <c r="M92" i="2"/>
  <c r="N92" i="2"/>
  <c r="O92" i="2"/>
  <c r="P92" i="2"/>
  <c r="L93" i="2"/>
  <c r="M93" i="2"/>
  <c r="N93" i="2"/>
  <c r="O93" i="2"/>
  <c r="P93" i="2"/>
  <c r="L94" i="2"/>
  <c r="M94" i="2"/>
  <c r="N94" i="2"/>
  <c r="O94" i="2"/>
  <c r="P94" i="2"/>
  <c r="K94" i="2"/>
  <c r="K93" i="2"/>
  <c r="K92" i="2"/>
  <c r="X82" i="2"/>
  <c r="Y82" i="2"/>
  <c r="Z82" i="2"/>
  <c r="AA82" i="2"/>
  <c r="X83" i="2"/>
  <c r="Y83" i="2"/>
  <c r="Z83" i="2"/>
  <c r="AA83" i="2"/>
  <c r="X84" i="2"/>
  <c r="Y84" i="2"/>
  <c r="Z84" i="2"/>
  <c r="AA84" i="2"/>
  <c r="W84" i="2"/>
  <c r="W83" i="2"/>
  <c r="W82" i="2"/>
  <c r="AC76" i="2"/>
  <c r="X76" i="2"/>
  <c r="Y76" i="2"/>
  <c r="Z76" i="2"/>
  <c r="AA76" i="2"/>
  <c r="AB76" i="2"/>
  <c r="X77" i="2"/>
  <c r="Y77" i="2"/>
  <c r="AA77" i="2"/>
  <c r="AB77" i="2"/>
  <c r="X78" i="2"/>
  <c r="Y78" i="2"/>
  <c r="Z78" i="2"/>
  <c r="AA78" i="2"/>
  <c r="AB78" i="2"/>
  <c r="W78" i="2"/>
  <c r="W77" i="2"/>
  <c r="W76" i="2"/>
  <c r="P78" i="2"/>
  <c r="P77" i="2"/>
  <c r="P76" i="2"/>
  <c r="L82" i="2"/>
  <c r="M82" i="2"/>
  <c r="N82" i="2"/>
  <c r="O82" i="2"/>
  <c r="L83" i="2"/>
  <c r="M83" i="2"/>
  <c r="N83" i="2"/>
  <c r="O83" i="2"/>
  <c r="L84" i="2"/>
  <c r="M84" i="2"/>
  <c r="N84" i="2"/>
  <c r="O84" i="2"/>
  <c r="K84" i="2"/>
  <c r="K83" i="2"/>
  <c r="K82" i="2"/>
  <c r="Q76" i="2"/>
  <c r="L76" i="2"/>
  <c r="M76" i="2"/>
  <c r="N76" i="2"/>
  <c r="O76" i="2"/>
  <c r="L77" i="2"/>
  <c r="M77" i="2"/>
  <c r="O77" i="2"/>
  <c r="L78" i="2"/>
  <c r="M78" i="2"/>
  <c r="N78" i="2"/>
  <c r="O78" i="2"/>
  <c r="K78" i="2"/>
  <c r="K77" i="2"/>
  <c r="K76" i="2"/>
  <c r="AC67" i="2"/>
  <c r="X67" i="2"/>
  <c r="Y67" i="2"/>
  <c r="Z67" i="2"/>
  <c r="AA67" i="2"/>
  <c r="AB67" i="2"/>
  <c r="X68" i="2"/>
  <c r="Y68" i="2"/>
  <c r="AA68" i="2"/>
  <c r="AB68" i="2"/>
  <c r="X69" i="2"/>
  <c r="Y69" i="2"/>
  <c r="Z69" i="2"/>
  <c r="AA69" i="2"/>
  <c r="AB69" i="2"/>
  <c r="W69" i="2"/>
  <c r="W68" i="2"/>
  <c r="W67" i="2"/>
  <c r="Q67" i="2"/>
  <c r="M67" i="2"/>
  <c r="N67" i="2"/>
  <c r="O67" i="2"/>
  <c r="P67" i="2"/>
  <c r="M68" i="2"/>
  <c r="O68" i="2"/>
  <c r="P68" i="2"/>
  <c r="M69" i="2"/>
  <c r="N69" i="2"/>
  <c r="O69" i="2"/>
  <c r="P69" i="2"/>
  <c r="L67" i="2"/>
  <c r="L68" i="2"/>
  <c r="L69" i="2"/>
  <c r="K69" i="2"/>
  <c r="K68" i="2"/>
  <c r="K67" i="2"/>
  <c r="C103" i="2" l="1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B105" i="2"/>
  <c r="B104" i="2"/>
  <c r="B103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B89" i="2"/>
  <c r="B88" i="2"/>
  <c r="B87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B73" i="2"/>
  <c r="B72" i="2"/>
  <c r="B7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B62" i="2"/>
  <c r="B64" i="2"/>
  <c r="B63" i="2"/>
  <c r="BY702" i="1" l="1"/>
  <c r="BZ702" i="1" s="1"/>
  <c r="BY703" i="1"/>
  <c r="BZ703" i="1"/>
  <c r="BY704" i="1"/>
  <c r="BZ704" i="1" s="1"/>
  <c r="BY705" i="1"/>
  <c r="BZ705" i="1"/>
  <c r="BY706" i="1"/>
  <c r="BZ706" i="1" s="1"/>
  <c r="BY707" i="1"/>
  <c r="BZ707" i="1"/>
  <c r="BY708" i="1"/>
  <c r="BZ708" i="1" s="1"/>
  <c r="BY709" i="1"/>
  <c r="CG709" i="1" s="1"/>
  <c r="BZ709" i="1"/>
  <c r="BY710" i="1"/>
  <c r="BZ710" i="1" s="1"/>
  <c r="BY711" i="1"/>
  <c r="BZ711" i="1"/>
  <c r="BY712" i="1"/>
  <c r="BZ712" i="1" s="1"/>
  <c r="BY713" i="1"/>
  <c r="BZ713" i="1"/>
  <c r="BY714" i="1"/>
  <c r="BZ714" i="1" s="1"/>
  <c r="CH702" i="1"/>
  <c r="CH703" i="1"/>
  <c r="CH704" i="1"/>
  <c r="CH705" i="1"/>
  <c r="CH706" i="1"/>
  <c r="CH707" i="1"/>
  <c r="CH708" i="1"/>
  <c r="CH709" i="1"/>
  <c r="CH710" i="1"/>
  <c r="CH711" i="1"/>
  <c r="CH712" i="1"/>
  <c r="CH713" i="1"/>
  <c r="CH714" i="1"/>
  <c r="CC702" i="1"/>
  <c r="CD702" i="1"/>
  <c r="CC703" i="1"/>
  <c r="CD703" i="1"/>
  <c r="CC704" i="1"/>
  <c r="CG704" i="1" s="1"/>
  <c r="CD704" i="1"/>
  <c r="CC705" i="1"/>
  <c r="CD705" i="1"/>
  <c r="CC706" i="1"/>
  <c r="CE706" i="1" s="1"/>
  <c r="CD706" i="1"/>
  <c r="CC707" i="1"/>
  <c r="CD707" i="1"/>
  <c r="CC708" i="1"/>
  <c r="CG708" i="1" s="1"/>
  <c r="CD708" i="1"/>
  <c r="CC709" i="1"/>
  <c r="CD709" i="1"/>
  <c r="CC710" i="1"/>
  <c r="CE710" i="1" s="1"/>
  <c r="CD710" i="1"/>
  <c r="CC711" i="1"/>
  <c r="CD711" i="1"/>
  <c r="CC712" i="1"/>
  <c r="CG712" i="1" s="1"/>
  <c r="CD712" i="1"/>
  <c r="CC713" i="1"/>
  <c r="CD713" i="1"/>
  <c r="CC714" i="1"/>
  <c r="CE714" i="1" s="1"/>
  <c r="CD714" i="1"/>
  <c r="CB706" i="1"/>
  <c r="CB707" i="1"/>
  <c r="CB708" i="1"/>
  <c r="CB709" i="1"/>
  <c r="CF715" i="1" s="1"/>
  <c r="CB710" i="1"/>
  <c r="CB711" i="1"/>
  <c r="CB712" i="1"/>
  <c r="CB713" i="1"/>
  <c r="CB714" i="1"/>
  <c r="AW702" i="1"/>
  <c r="AW703" i="1"/>
  <c r="AW704" i="1"/>
  <c r="AW705" i="1"/>
  <c r="AW706" i="1"/>
  <c r="AW707" i="1"/>
  <c r="AW708" i="1"/>
  <c r="AW709" i="1"/>
  <c r="AW710" i="1"/>
  <c r="AW711" i="1"/>
  <c r="AW712" i="1"/>
  <c r="AW713" i="1"/>
  <c r="AW714" i="1"/>
  <c r="AR702" i="1"/>
  <c r="AS702" i="1"/>
  <c r="AR703" i="1"/>
  <c r="AS703" i="1"/>
  <c r="AR704" i="1"/>
  <c r="AS704" i="1"/>
  <c r="AR705" i="1"/>
  <c r="AV705" i="1" s="1"/>
  <c r="AS705" i="1"/>
  <c r="AR706" i="1"/>
  <c r="AS706" i="1"/>
  <c r="AR707" i="1"/>
  <c r="AS707" i="1"/>
  <c r="AR708" i="1"/>
  <c r="AS708" i="1"/>
  <c r="AR709" i="1"/>
  <c r="AS709" i="1"/>
  <c r="AR710" i="1"/>
  <c r="AV710" i="1" s="1"/>
  <c r="AS710" i="1"/>
  <c r="AR711" i="1"/>
  <c r="AS711" i="1"/>
  <c r="AR712" i="1"/>
  <c r="AS712" i="1"/>
  <c r="AR713" i="1"/>
  <c r="AS713" i="1"/>
  <c r="AR714" i="1"/>
  <c r="AV714" i="1" s="1"/>
  <c r="AS714" i="1"/>
  <c r="AQ702" i="1"/>
  <c r="AQ703" i="1"/>
  <c r="AU709" i="1" s="1"/>
  <c r="AQ704" i="1"/>
  <c r="AQ705" i="1"/>
  <c r="AQ706" i="1"/>
  <c r="AQ707" i="1"/>
  <c r="AQ708" i="1"/>
  <c r="AQ709" i="1"/>
  <c r="AQ710" i="1"/>
  <c r="AQ711" i="1"/>
  <c r="AQ712" i="1"/>
  <c r="AQ713" i="1"/>
  <c r="AQ714" i="1"/>
  <c r="AN702" i="1"/>
  <c r="AO702" i="1" s="1"/>
  <c r="AN703" i="1"/>
  <c r="AO703" i="1"/>
  <c r="AN704" i="1"/>
  <c r="AO704" i="1" s="1"/>
  <c r="AN705" i="1"/>
  <c r="AO705" i="1"/>
  <c r="AN706" i="1"/>
  <c r="AO706" i="1" s="1"/>
  <c r="AN707" i="1"/>
  <c r="AO707" i="1"/>
  <c r="AN708" i="1"/>
  <c r="AO708" i="1" s="1"/>
  <c r="AN709" i="1"/>
  <c r="AU715" i="1" s="1"/>
  <c r="AO709" i="1"/>
  <c r="AN710" i="1"/>
  <c r="AO710" i="1" s="1"/>
  <c r="AN711" i="1"/>
  <c r="AO711" i="1"/>
  <c r="AN712" i="1"/>
  <c r="AO712" i="1" s="1"/>
  <c r="AN713" i="1"/>
  <c r="AO713" i="1"/>
  <c r="AN714" i="1"/>
  <c r="AO714" i="1" s="1"/>
  <c r="CB705" i="1"/>
  <c r="CB704" i="1"/>
  <c r="CB703" i="1"/>
  <c r="CB702" i="1"/>
  <c r="CG715" i="1"/>
  <c r="CE715" i="1"/>
  <c r="BU715" i="1"/>
  <c r="BT715" i="1"/>
  <c r="BS715" i="1"/>
  <c r="BR715" i="1"/>
  <c r="BQ715" i="1"/>
  <c r="BP715" i="1"/>
  <c r="BO715" i="1"/>
  <c r="AV715" i="1"/>
  <c r="AT715" i="1"/>
  <c r="AH715" i="1"/>
  <c r="AE715" i="1"/>
  <c r="AD715" i="1"/>
  <c r="AJ715" i="1"/>
  <c r="AI715" i="1"/>
  <c r="AG715" i="1"/>
  <c r="AF715" i="1"/>
  <c r="CG710" i="1"/>
  <c r="CG713" i="1"/>
  <c r="CE711" i="1"/>
  <c r="CE712" i="1"/>
  <c r="CE713" i="1"/>
  <c r="CE709" i="1"/>
  <c r="CG703" i="1"/>
  <c r="CG705" i="1"/>
  <c r="CG707" i="1"/>
  <c r="CE703" i="1"/>
  <c r="CE704" i="1"/>
  <c r="CE707" i="1"/>
  <c r="CE708" i="1"/>
  <c r="BU709" i="1"/>
  <c r="BT709" i="1"/>
  <c r="BR709" i="1"/>
  <c r="BQ709" i="1"/>
  <c r="BS709" i="1"/>
  <c r="BP709" i="1"/>
  <c r="BO709" i="1"/>
  <c r="AV711" i="1"/>
  <c r="AV712" i="1"/>
  <c r="AT711" i="1"/>
  <c r="AT713" i="1"/>
  <c r="AV709" i="1"/>
  <c r="AV703" i="1"/>
  <c r="AV704" i="1"/>
  <c r="AV707" i="1"/>
  <c r="AV708" i="1"/>
  <c r="AT703" i="1"/>
  <c r="AT706" i="1"/>
  <c r="AT707" i="1"/>
  <c r="AJ709" i="1"/>
  <c r="AI709" i="1"/>
  <c r="AG709" i="1"/>
  <c r="AF709" i="1"/>
  <c r="AH709" i="1"/>
  <c r="AE709" i="1"/>
  <c r="AD709" i="1"/>
  <c r="B703" i="1"/>
  <c r="C703" i="1"/>
  <c r="B704" i="1"/>
  <c r="C704" i="1" s="1"/>
  <c r="A715" i="1"/>
  <c r="A702" i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CE705" i="1" l="1"/>
  <c r="CG706" i="1"/>
  <c r="CG714" i="1"/>
  <c r="CG711" i="1"/>
  <c r="CF709" i="1"/>
  <c r="AT710" i="1"/>
  <c r="AV706" i="1"/>
  <c r="AT705" i="1"/>
  <c r="AT714" i="1"/>
  <c r="AT708" i="1"/>
  <c r="AT704" i="1"/>
  <c r="AT709" i="1"/>
  <c r="AT712" i="1"/>
  <c r="AV713" i="1"/>
  <c r="B705" i="1"/>
  <c r="CG702" i="1"/>
  <c r="CE702" i="1"/>
  <c r="BS702" i="1"/>
  <c r="BP702" i="1"/>
  <c r="BO702" i="1"/>
  <c r="BU702" i="1"/>
  <c r="BT702" i="1"/>
  <c r="BR702" i="1"/>
  <c r="BQ702" i="1"/>
  <c r="AV702" i="1"/>
  <c r="AT702" i="1"/>
  <c r="AJ702" i="1"/>
  <c r="AI702" i="1"/>
  <c r="AG702" i="1"/>
  <c r="AF702" i="1"/>
  <c r="AH702" i="1"/>
  <c r="AE702" i="1"/>
  <c r="AD702" i="1"/>
  <c r="BS695" i="1"/>
  <c r="BP695" i="1"/>
  <c r="BO695" i="1"/>
  <c r="BU695" i="1"/>
  <c r="BT695" i="1"/>
  <c r="BR695" i="1"/>
  <c r="BQ695" i="1"/>
  <c r="CG696" i="1"/>
  <c r="CG697" i="1"/>
  <c r="CG698" i="1"/>
  <c r="CG699" i="1"/>
  <c r="CG700" i="1"/>
  <c r="CG701" i="1"/>
  <c r="CE696" i="1"/>
  <c r="CE697" i="1"/>
  <c r="CE698" i="1"/>
  <c r="CE699" i="1"/>
  <c r="CE700" i="1"/>
  <c r="CE701" i="1"/>
  <c r="CG695" i="1"/>
  <c r="CF695" i="1"/>
  <c r="CE695" i="1"/>
  <c r="CG687" i="1"/>
  <c r="CG688" i="1"/>
  <c r="CG689" i="1"/>
  <c r="CG690" i="1"/>
  <c r="CG691" i="1"/>
  <c r="CG692" i="1"/>
  <c r="CG693" i="1"/>
  <c r="CG694" i="1"/>
  <c r="CE688" i="1"/>
  <c r="CE689" i="1"/>
  <c r="CE690" i="1"/>
  <c r="CE691" i="1"/>
  <c r="CE692" i="1"/>
  <c r="CE693" i="1"/>
  <c r="CE694" i="1"/>
  <c r="AV696" i="1"/>
  <c r="AV697" i="1"/>
  <c r="AV698" i="1"/>
  <c r="AV699" i="1"/>
  <c r="AV700" i="1"/>
  <c r="AV701" i="1"/>
  <c r="AT696" i="1"/>
  <c r="AT697" i="1"/>
  <c r="AT698" i="1"/>
  <c r="AT699" i="1"/>
  <c r="AT700" i="1"/>
  <c r="AT701" i="1"/>
  <c r="AH695" i="1"/>
  <c r="AE695" i="1"/>
  <c r="AD695" i="1"/>
  <c r="AJ695" i="1"/>
  <c r="AI695" i="1"/>
  <c r="AG695" i="1"/>
  <c r="AF695" i="1"/>
  <c r="AV695" i="1"/>
  <c r="AU695" i="1"/>
  <c r="AT695" i="1"/>
  <c r="AV688" i="1"/>
  <c r="AV689" i="1"/>
  <c r="AV690" i="1"/>
  <c r="AV691" i="1"/>
  <c r="AV692" i="1"/>
  <c r="AV693" i="1"/>
  <c r="AV694" i="1"/>
  <c r="AT688" i="1"/>
  <c r="AT689" i="1"/>
  <c r="AT690" i="1"/>
  <c r="AT691" i="1"/>
  <c r="AT692" i="1"/>
  <c r="AT693" i="1"/>
  <c r="AT694" i="1"/>
  <c r="AN695" i="1"/>
  <c r="AO695" i="1" s="1"/>
  <c r="AN696" i="1"/>
  <c r="AO696" i="1"/>
  <c r="AN697" i="1"/>
  <c r="AO697" i="1" s="1"/>
  <c r="AN698" i="1"/>
  <c r="AO698" i="1"/>
  <c r="AN699" i="1"/>
  <c r="AO699" i="1" s="1"/>
  <c r="AN700" i="1"/>
  <c r="AO700" i="1"/>
  <c r="AN701" i="1"/>
  <c r="AO701" i="1" s="1"/>
  <c r="AQ695" i="1"/>
  <c r="AR695" i="1"/>
  <c r="AS695" i="1"/>
  <c r="AQ696" i="1"/>
  <c r="AR696" i="1"/>
  <c r="AS696" i="1"/>
  <c r="AQ697" i="1"/>
  <c r="AS697" i="1" s="1"/>
  <c r="AQ698" i="1"/>
  <c r="AR699" i="1" s="1"/>
  <c r="AW699" i="1" s="1"/>
  <c r="AR698" i="1"/>
  <c r="AW698" i="1" s="1"/>
  <c r="AQ699" i="1"/>
  <c r="AS699" i="1"/>
  <c r="AQ700" i="1"/>
  <c r="AR700" i="1"/>
  <c r="AS700" i="1"/>
  <c r="AQ701" i="1"/>
  <c r="AS701" i="1" s="1"/>
  <c r="AW695" i="1"/>
  <c r="AW696" i="1"/>
  <c r="AW700" i="1"/>
  <c r="CH695" i="1"/>
  <c r="CH696" i="1"/>
  <c r="CH697" i="1"/>
  <c r="CH698" i="1"/>
  <c r="CH699" i="1"/>
  <c r="CH700" i="1"/>
  <c r="CH701" i="1"/>
  <c r="CC695" i="1"/>
  <c r="CD695" i="1"/>
  <c r="CC696" i="1"/>
  <c r="CD696" i="1"/>
  <c r="CC697" i="1"/>
  <c r="CD697" i="1"/>
  <c r="CC698" i="1"/>
  <c r="CD698" i="1"/>
  <c r="CC699" i="1"/>
  <c r="CD699" i="1"/>
  <c r="CC700" i="1"/>
  <c r="CD700" i="1"/>
  <c r="CC701" i="1"/>
  <c r="CD701" i="1"/>
  <c r="BY695" i="1"/>
  <c r="BZ695" i="1"/>
  <c r="BY696" i="1"/>
  <c r="BZ696" i="1" s="1"/>
  <c r="BY697" i="1"/>
  <c r="BZ697" i="1"/>
  <c r="BY698" i="1"/>
  <c r="BZ698" i="1" s="1"/>
  <c r="BY699" i="1"/>
  <c r="BZ699" i="1"/>
  <c r="BY700" i="1"/>
  <c r="BZ700" i="1" s="1"/>
  <c r="BY701" i="1"/>
  <c r="BZ701" i="1"/>
  <c r="CB701" i="1"/>
  <c r="CB700" i="1"/>
  <c r="CB699" i="1"/>
  <c r="CB698" i="1"/>
  <c r="CB697" i="1"/>
  <c r="CB696" i="1"/>
  <c r="CB695" i="1"/>
  <c r="B696" i="1"/>
  <c r="C696" i="1" s="1"/>
  <c r="A695" i="1"/>
  <c r="A696" i="1" s="1"/>
  <c r="A697" i="1" s="1"/>
  <c r="A698" i="1" s="1"/>
  <c r="A699" i="1" s="1"/>
  <c r="A700" i="1" s="1"/>
  <c r="A701" i="1" s="1"/>
  <c r="C705" i="1" l="1"/>
  <c r="B706" i="1"/>
  <c r="AR701" i="1"/>
  <c r="AW701" i="1" s="1"/>
  <c r="AS698" i="1"/>
  <c r="AR697" i="1"/>
  <c r="AW697" i="1" s="1"/>
  <c r="B697" i="1"/>
  <c r="AN682" i="1"/>
  <c r="AV682" i="1" s="1"/>
  <c r="AO682" i="1"/>
  <c r="AN683" i="1"/>
  <c r="AO683" i="1"/>
  <c r="AN684" i="1"/>
  <c r="AO684" i="1"/>
  <c r="AN685" i="1"/>
  <c r="AO685" i="1"/>
  <c r="AN686" i="1"/>
  <c r="AO686" i="1"/>
  <c r="AN687" i="1"/>
  <c r="AO687" i="1"/>
  <c r="AN688" i="1"/>
  <c r="AT687" i="1" s="1"/>
  <c r="AO688" i="1"/>
  <c r="AN689" i="1"/>
  <c r="AO689" i="1"/>
  <c r="AN690" i="1"/>
  <c r="AO690" i="1"/>
  <c r="AN691" i="1"/>
  <c r="AO691" i="1"/>
  <c r="AN692" i="1"/>
  <c r="AO692" i="1"/>
  <c r="AN693" i="1"/>
  <c r="AO693" i="1"/>
  <c r="AN694" i="1"/>
  <c r="AO694" i="1"/>
  <c r="AR682" i="1"/>
  <c r="AS682" i="1"/>
  <c r="AR683" i="1"/>
  <c r="AV683" i="1" s="1"/>
  <c r="AS683" i="1"/>
  <c r="AR684" i="1"/>
  <c r="AS684" i="1"/>
  <c r="AR685" i="1"/>
  <c r="AT685" i="1" s="1"/>
  <c r="AS685" i="1"/>
  <c r="AR686" i="1"/>
  <c r="AS686" i="1"/>
  <c r="AR687" i="1"/>
  <c r="AV687" i="1" s="1"/>
  <c r="AS687" i="1"/>
  <c r="AR688" i="1"/>
  <c r="AS688" i="1"/>
  <c r="AR689" i="1"/>
  <c r="AW689" i="1" s="1"/>
  <c r="AS689" i="1"/>
  <c r="AR690" i="1"/>
  <c r="AS690" i="1"/>
  <c r="AR691" i="1"/>
  <c r="AS691" i="1"/>
  <c r="AR692" i="1"/>
  <c r="AS692" i="1"/>
  <c r="AR693" i="1"/>
  <c r="AW693" i="1" s="1"/>
  <c r="AS693" i="1"/>
  <c r="AR694" i="1"/>
  <c r="AS694" i="1"/>
  <c r="AW682" i="1"/>
  <c r="AW683" i="1"/>
  <c r="AW684" i="1"/>
  <c r="AW686" i="1"/>
  <c r="AW687" i="1"/>
  <c r="AW688" i="1"/>
  <c r="AW690" i="1"/>
  <c r="AW691" i="1"/>
  <c r="AW692" i="1"/>
  <c r="AW694" i="1"/>
  <c r="CH682" i="1"/>
  <c r="CH683" i="1"/>
  <c r="CH684" i="1"/>
  <c r="CH685" i="1"/>
  <c r="CH686" i="1"/>
  <c r="CH687" i="1"/>
  <c r="CH688" i="1"/>
  <c r="CH689" i="1"/>
  <c r="CH690" i="1"/>
  <c r="CH691" i="1"/>
  <c r="CH692" i="1"/>
  <c r="CH693" i="1"/>
  <c r="CH694" i="1"/>
  <c r="B681" i="1"/>
  <c r="B682" i="1" s="1"/>
  <c r="C681" i="1"/>
  <c r="CB694" i="1"/>
  <c r="AQ694" i="1"/>
  <c r="AQ693" i="1"/>
  <c r="CB693" i="1"/>
  <c r="CB692" i="1"/>
  <c r="AQ692" i="1"/>
  <c r="AQ691" i="1"/>
  <c r="CB691" i="1"/>
  <c r="CB690" i="1"/>
  <c r="AQ690" i="1"/>
  <c r="AQ689" i="1"/>
  <c r="CB689" i="1"/>
  <c r="CB688" i="1"/>
  <c r="AQ688" i="1"/>
  <c r="AQ687" i="1"/>
  <c r="CB687" i="1"/>
  <c r="CB686" i="1"/>
  <c r="AQ686" i="1"/>
  <c r="AQ685" i="1"/>
  <c r="CB685" i="1"/>
  <c r="CB684" i="1"/>
  <c r="AQ684" i="1"/>
  <c r="AQ683" i="1"/>
  <c r="CB683" i="1"/>
  <c r="CB682" i="1"/>
  <c r="AQ682" i="1"/>
  <c r="AV684" i="1"/>
  <c r="AV685" i="1"/>
  <c r="AV686" i="1"/>
  <c r="AT683" i="1"/>
  <c r="AT684" i="1"/>
  <c r="AT686" i="1"/>
  <c r="A693" i="1"/>
  <c r="A694" i="1"/>
  <c r="A681" i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C706" i="1" l="1"/>
  <c r="B707" i="1"/>
  <c r="C697" i="1"/>
  <c r="B698" i="1"/>
  <c r="AT682" i="1"/>
  <c r="AW685" i="1"/>
  <c r="B683" i="1"/>
  <c r="C682" i="1"/>
  <c r="BU681" i="1"/>
  <c r="BT681" i="1"/>
  <c r="BR681" i="1"/>
  <c r="BQ681" i="1"/>
  <c r="AJ681" i="1"/>
  <c r="AI681" i="1"/>
  <c r="AG681" i="1"/>
  <c r="AF681" i="1"/>
  <c r="BS681" i="1"/>
  <c r="BP681" i="1"/>
  <c r="BO681" i="1"/>
  <c r="AH681" i="1"/>
  <c r="AE681" i="1"/>
  <c r="AD681" i="1"/>
  <c r="AV672" i="1"/>
  <c r="AV673" i="1"/>
  <c r="AV674" i="1"/>
  <c r="AV675" i="1"/>
  <c r="AV676" i="1"/>
  <c r="AV677" i="1"/>
  <c r="AV678" i="1"/>
  <c r="AV679" i="1"/>
  <c r="AV680" i="1"/>
  <c r="AT672" i="1"/>
  <c r="AT673" i="1"/>
  <c r="AT674" i="1"/>
  <c r="AT675" i="1"/>
  <c r="AT676" i="1"/>
  <c r="AT677" i="1"/>
  <c r="AT678" i="1"/>
  <c r="AT679" i="1"/>
  <c r="AT680" i="1"/>
  <c r="AW665" i="1"/>
  <c r="AW666" i="1"/>
  <c r="AW667" i="1"/>
  <c r="AW668" i="1"/>
  <c r="AW669" i="1"/>
  <c r="AW670" i="1"/>
  <c r="AW671" i="1"/>
  <c r="AW672" i="1"/>
  <c r="AW673" i="1"/>
  <c r="AW674" i="1"/>
  <c r="AW675" i="1"/>
  <c r="AW676" i="1"/>
  <c r="AW677" i="1"/>
  <c r="AW678" i="1"/>
  <c r="AW679" i="1"/>
  <c r="AW680" i="1"/>
  <c r="AR665" i="1"/>
  <c r="AS665" i="1"/>
  <c r="AR666" i="1"/>
  <c r="AS666" i="1"/>
  <c r="AR667" i="1"/>
  <c r="AS667" i="1"/>
  <c r="AR668" i="1"/>
  <c r="AS668" i="1"/>
  <c r="AR669" i="1"/>
  <c r="AS669" i="1"/>
  <c r="AR670" i="1"/>
  <c r="AS670" i="1"/>
  <c r="AR671" i="1"/>
  <c r="AS671" i="1"/>
  <c r="AR672" i="1"/>
  <c r="AS672" i="1"/>
  <c r="AR673" i="1"/>
  <c r="AS673" i="1"/>
  <c r="AR674" i="1"/>
  <c r="AS674" i="1"/>
  <c r="AR675" i="1"/>
  <c r="AS675" i="1"/>
  <c r="AR676" i="1"/>
  <c r="AS676" i="1"/>
  <c r="AR677" i="1"/>
  <c r="AS677" i="1"/>
  <c r="AR678" i="1"/>
  <c r="AS678" i="1"/>
  <c r="AR679" i="1"/>
  <c r="AS679" i="1"/>
  <c r="AR680" i="1"/>
  <c r="AS680" i="1"/>
  <c r="AN665" i="1"/>
  <c r="AN666" i="1"/>
  <c r="AN667" i="1"/>
  <c r="AN668" i="1"/>
  <c r="AN669" i="1"/>
  <c r="AN670" i="1"/>
  <c r="AN671" i="1"/>
  <c r="AN672" i="1"/>
  <c r="AN673" i="1"/>
  <c r="AO673" i="1"/>
  <c r="AN674" i="1"/>
  <c r="AN675" i="1"/>
  <c r="AO675" i="1"/>
  <c r="AN676" i="1"/>
  <c r="AO676" i="1" s="1"/>
  <c r="AN677" i="1"/>
  <c r="AO677" i="1"/>
  <c r="AN678" i="1"/>
  <c r="AO678" i="1" s="1"/>
  <c r="AN679" i="1"/>
  <c r="AO679" i="1"/>
  <c r="AN680" i="1"/>
  <c r="AO680" i="1" s="1"/>
  <c r="AN681" i="1"/>
  <c r="AO681" i="1"/>
  <c r="CH665" i="1"/>
  <c r="CH666" i="1"/>
  <c r="CH667" i="1"/>
  <c r="CH668" i="1"/>
  <c r="CH669" i="1"/>
  <c r="CH670" i="1"/>
  <c r="CH671" i="1"/>
  <c r="CH672" i="1"/>
  <c r="CH673" i="1"/>
  <c r="CH674" i="1"/>
  <c r="CH675" i="1"/>
  <c r="CH676" i="1"/>
  <c r="CH677" i="1"/>
  <c r="CH678" i="1"/>
  <c r="CH679" i="1"/>
  <c r="CH680" i="1"/>
  <c r="CG672" i="1"/>
  <c r="CG673" i="1"/>
  <c r="CG674" i="1"/>
  <c r="CG675" i="1"/>
  <c r="CG676" i="1"/>
  <c r="CG677" i="1"/>
  <c r="CG678" i="1"/>
  <c r="CG679" i="1"/>
  <c r="CC665" i="1"/>
  <c r="CD665" i="1"/>
  <c r="CC666" i="1"/>
  <c r="CD666" i="1"/>
  <c r="CC667" i="1"/>
  <c r="CD667" i="1"/>
  <c r="CC668" i="1"/>
  <c r="CD668" i="1"/>
  <c r="CC669" i="1"/>
  <c r="CD669" i="1"/>
  <c r="CC670" i="1"/>
  <c r="CD670" i="1"/>
  <c r="CC671" i="1"/>
  <c r="CD671" i="1"/>
  <c r="CC672" i="1"/>
  <c r="CD672" i="1"/>
  <c r="CE672" i="1"/>
  <c r="CC673" i="1"/>
  <c r="CE673" i="1" s="1"/>
  <c r="CD673" i="1"/>
  <c r="CC674" i="1"/>
  <c r="CE674" i="1" s="1"/>
  <c r="CD674" i="1"/>
  <c r="CC675" i="1"/>
  <c r="CD675" i="1"/>
  <c r="CE675" i="1"/>
  <c r="CC676" i="1"/>
  <c r="CD676" i="1"/>
  <c r="CE676" i="1"/>
  <c r="CC677" i="1"/>
  <c r="CE677" i="1" s="1"/>
  <c r="CD677" i="1"/>
  <c r="CC678" i="1"/>
  <c r="CE678" i="1" s="1"/>
  <c r="CD678" i="1"/>
  <c r="CC679" i="1"/>
  <c r="CD679" i="1"/>
  <c r="CE679" i="1"/>
  <c r="CC680" i="1"/>
  <c r="CD680" i="1"/>
  <c r="BY679" i="1"/>
  <c r="BZ679" i="1" s="1"/>
  <c r="BY680" i="1"/>
  <c r="BZ680" i="1"/>
  <c r="BY665" i="1"/>
  <c r="BY666" i="1"/>
  <c r="BY667" i="1"/>
  <c r="BY668" i="1"/>
  <c r="BY669" i="1"/>
  <c r="BY670" i="1"/>
  <c r="BY671" i="1"/>
  <c r="BY672" i="1"/>
  <c r="BY673" i="1"/>
  <c r="BZ673" i="1"/>
  <c r="BY674" i="1"/>
  <c r="BZ674" i="1"/>
  <c r="BY675" i="1"/>
  <c r="BZ675" i="1"/>
  <c r="BY676" i="1"/>
  <c r="BZ676" i="1"/>
  <c r="BY677" i="1"/>
  <c r="BZ677" i="1"/>
  <c r="BY678" i="1"/>
  <c r="BZ678" i="1"/>
  <c r="CB681" i="1"/>
  <c r="AQ681" i="1"/>
  <c r="AQ680" i="1"/>
  <c r="CB680" i="1"/>
  <c r="CB679" i="1"/>
  <c r="AQ679" i="1"/>
  <c r="AQ678" i="1"/>
  <c r="CB678" i="1"/>
  <c r="CB677" i="1"/>
  <c r="AQ677" i="1"/>
  <c r="AQ676" i="1"/>
  <c r="CB676" i="1"/>
  <c r="CB675" i="1"/>
  <c r="AQ675" i="1"/>
  <c r="AQ674" i="1"/>
  <c r="CB674" i="1"/>
  <c r="CB673" i="1"/>
  <c r="AQ673" i="1"/>
  <c r="AQ672" i="1"/>
  <c r="CB672" i="1"/>
  <c r="CB671" i="1"/>
  <c r="AQ671" i="1"/>
  <c r="AQ670" i="1"/>
  <c r="CB670" i="1"/>
  <c r="CB669" i="1"/>
  <c r="AQ669" i="1"/>
  <c r="AQ668" i="1"/>
  <c r="CB668" i="1"/>
  <c r="CB667" i="1"/>
  <c r="AQ667" i="1"/>
  <c r="AQ666" i="1"/>
  <c r="CB666" i="1"/>
  <c r="CB665" i="1"/>
  <c r="AQ665" i="1"/>
  <c r="A680" i="1"/>
  <c r="B680" i="1"/>
  <c r="C680" i="1"/>
  <c r="AR681" i="1"/>
  <c r="A670" i="1"/>
  <c r="B670" i="1"/>
  <c r="B671" i="1" s="1"/>
  <c r="B672" i="1" s="1"/>
  <c r="B673" i="1" s="1"/>
  <c r="B674" i="1" s="1"/>
  <c r="B675" i="1" s="1"/>
  <c r="B676" i="1" s="1"/>
  <c r="B677" i="1" s="1"/>
  <c r="B678" i="1" s="1"/>
  <c r="B679" i="1" s="1"/>
  <c r="C670" i="1"/>
  <c r="A671" i="1"/>
  <c r="C671" i="1" s="1"/>
  <c r="C707" i="1" l="1"/>
  <c r="B708" i="1"/>
  <c r="C698" i="1"/>
  <c r="B699" i="1"/>
  <c r="BY682" i="1"/>
  <c r="CC682" i="1"/>
  <c r="CD682" i="1"/>
  <c r="C683" i="1"/>
  <c r="B684" i="1"/>
  <c r="AT681" i="1"/>
  <c r="AV681" i="1"/>
  <c r="AW681" i="1"/>
  <c r="AU681" i="1"/>
  <c r="BY681" i="1"/>
  <c r="CD681" i="1"/>
  <c r="CC681" i="1"/>
  <c r="AS681" i="1"/>
  <c r="A672" i="1"/>
  <c r="Q627" i="1"/>
  <c r="R627" i="1" s="1"/>
  <c r="Q624" i="1"/>
  <c r="R624" i="1" s="1"/>
  <c r="Q621" i="1"/>
  <c r="R621" i="1" s="1"/>
  <c r="Q620" i="1"/>
  <c r="R620" i="1" s="1"/>
  <c r="Q618" i="1"/>
  <c r="R618" i="1" s="1"/>
  <c r="Q610" i="1"/>
  <c r="R610" i="1" s="1"/>
  <c r="Q607" i="1"/>
  <c r="R607" i="1" s="1"/>
  <c r="Q605" i="1"/>
  <c r="R605" i="1" s="1"/>
  <c r="Q602" i="1"/>
  <c r="R602" i="1" s="1"/>
  <c r="Q600" i="1"/>
  <c r="R600" i="1" s="1"/>
  <c r="Q598" i="1"/>
  <c r="R598" i="1" s="1"/>
  <c r="Q596" i="1"/>
  <c r="R596" i="1" s="1"/>
  <c r="Q592" i="1"/>
  <c r="R592" i="1" s="1"/>
  <c r="C708" i="1" l="1"/>
  <c r="B709" i="1"/>
  <c r="C699" i="1"/>
  <c r="B700" i="1"/>
  <c r="CC683" i="1"/>
  <c r="CD683" i="1"/>
  <c r="BY683" i="1"/>
  <c r="BZ683" i="1" s="1"/>
  <c r="CG682" i="1"/>
  <c r="CE682" i="1"/>
  <c r="B685" i="1"/>
  <c r="C684" i="1"/>
  <c r="BZ682" i="1"/>
  <c r="BZ681" i="1"/>
  <c r="CF681" i="1"/>
  <c r="CG680" i="1"/>
  <c r="CE680" i="1"/>
  <c r="CH681" i="1"/>
  <c r="CE681" i="1"/>
  <c r="CG681" i="1"/>
  <c r="C672" i="1"/>
  <c r="A673" i="1"/>
  <c r="BY661" i="1"/>
  <c r="BY662" i="1"/>
  <c r="BY663" i="1"/>
  <c r="BY664" i="1"/>
  <c r="CC661" i="1"/>
  <c r="CH661" i="1" s="1"/>
  <c r="CD661" i="1"/>
  <c r="CC662" i="1"/>
  <c r="CD662" i="1"/>
  <c r="CC663" i="1"/>
  <c r="CH663" i="1" s="1"/>
  <c r="CD663" i="1"/>
  <c r="CC664" i="1"/>
  <c r="CD664" i="1"/>
  <c r="CH662" i="1"/>
  <c r="CH664" i="1"/>
  <c r="AW661" i="1"/>
  <c r="AW662" i="1"/>
  <c r="AW663" i="1"/>
  <c r="AW664" i="1"/>
  <c r="AR661" i="1"/>
  <c r="AS661" i="1"/>
  <c r="AR662" i="1"/>
  <c r="AS662" i="1"/>
  <c r="AR663" i="1"/>
  <c r="AS663" i="1"/>
  <c r="AR664" i="1"/>
  <c r="AS664" i="1"/>
  <c r="AN661" i="1"/>
  <c r="AN662" i="1"/>
  <c r="AN663" i="1"/>
  <c r="AN664" i="1"/>
  <c r="AQ664" i="1"/>
  <c r="CB664" i="1"/>
  <c r="CB663" i="1"/>
  <c r="AQ663" i="1"/>
  <c r="AQ662" i="1"/>
  <c r="CB662" i="1"/>
  <c r="CB661" i="1"/>
  <c r="AQ661" i="1"/>
  <c r="C709" i="1" l="1"/>
  <c r="B710" i="1"/>
  <c r="C700" i="1"/>
  <c r="B701" i="1"/>
  <c r="BY684" i="1"/>
  <c r="CE683" i="1" s="1"/>
  <c r="CC684" i="1"/>
  <c r="CD684" i="1"/>
  <c r="B686" i="1"/>
  <c r="C685" i="1"/>
  <c r="CG683" i="1"/>
  <c r="A674" i="1"/>
  <c r="C673" i="1"/>
  <c r="CG634" i="1"/>
  <c r="CG635" i="1"/>
  <c r="CG636" i="1"/>
  <c r="CG637" i="1"/>
  <c r="CG638" i="1"/>
  <c r="CG639" i="1"/>
  <c r="CE634" i="1"/>
  <c r="CE635" i="1"/>
  <c r="CE636" i="1"/>
  <c r="CE637" i="1"/>
  <c r="CE638" i="1"/>
  <c r="CE639" i="1"/>
  <c r="CG633" i="1"/>
  <c r="CF633" i="1"/>
  <c r="CE633" i="1"/>
  <c r="BU633" i="1"/>
  <c r="BT633" i="1"/>
  <c r="BR633" i="1"/>
  <c r="BQ633" i="1"/>
  <c r="BS633" i="1"/>
  <c r="BP633" i="1"/>
  <c r="BO633" i="1"/>
  <c r="AV634" i="1"/>
  <c r="AV635" i="1"/>
  <c r="AV636" i="1"/>
  <c r="AV637" i="1"/>
  <c r="AV638" i="1"/>
  <c r="AV639" i="1"/>
  <c r="AT634" i="1"/>
  <c r="AT635" i="1"/>
  <c r="AT636" i="1"/>
  <c r="AT637" i="1"/>
  <c r="AT638" i="1"/>
  <c r="AT639" i="1"/>
  <c r="AV633" i="1"/>
  <c r="AU633" i="1"/>
  <c r="AT633" i="1"/>
  <c r="AJ633" i="1"/>
  <c r="AI633" i="1"/>
  <c r="AG633" i="1"/>
  <c r="AF633" i="1"/>
  <c r="AH633" i="1"/>
  <c r="AE633" i="1"/>
  <c r="AD633" i="1"/>
  <c r="CG627" i="1"/>
  <c r="CG628" i="1"/>
  <c r="CG629" i="1"/>
  <c r="CG630" i="1"/>
  <c r="CG631" i="1"/>
  <c r="CG632" i="1"/>
  <c r="CE627" i="1"/>
  <c r="CE628" i="1"/>
  <c r="CE629" i="1"/>
  <c r="CE630" i="1"/>
  <c r="CE631" i="1"/>
  <c r="CE632" i="1"/>
  <c r="CG626" i="1"/>
  <c r="CF626" i="1"/>
  <c r="CE626" i="1"/>
  <c r="BS626" i="1"/>
  <c r="BP626" i="1"/>
  <c r="BO626" i="1"/>
  <c r="BU626" i="1"/>
  <c r="BT626" i="1"/>
  <c r="BR626" i="1"/>
  <c r="BQ626" i="1"/>
  <c r="AV627" i="1"/>
  <c r="AV628" i="1"/>
  <c r="AV629" i="1"/>
  <c r="AV630" i="1"/>
  <c r="AV631" i="1"/>
  <c r="AV632" i="1"/>
  <c r="AT627" i="1"/>
  <c r="AT628" i="1"/>
  <c r="AT629" i="1"/>
  <c r="AT630" i="1"/>
  <c r="AT631" i="1"/>
  <c r="AT632" i="1"/>
  <c r="AV626" i="1"/>
  <c r="AU626" i="1"/>
  <c r="AT626" i="1"/>
  <c r="AJ626" i="1"/>
  <c r="AI626" i="1"/>
  <c r="AG626" i="1"/>
  <c r="AF626" i="1"/>
  <c r="AH626" i="1"/>
  <c r="AE626" i="1"/>
  <c r="AD626" i="1"/>
  <c r="CE620" i="1"/>
  <c r="CE621" i="1"/>
  <c r="CE622" i="1"/>
  <c r="CE623" i="1"/>
  <c r="CE625" i="1"/>
  <c r="CG620" i="1"/>
  <c r="CG621" i="1"/>
  <c r="CG622" i="1"/>
  <c r="CG623" i="1"/>
  <c r="CG625" i="1"/>
  <c r="CG619" i="1"/>
  <c r="CF619" i="1"/>
  <c r="CE619" i="1"/>
  <c r="BS619" i="1"/>
  <c r="BP619" i="1"/>
  <c r="BO619" i="1"/>
  <c r="BU619" i="1"/>
  <c r="BT619" i="1"/>
  <c r="BR619" i="1"/>
  <c r="BQ619" i="1"/>
  <c r="AT620" i="1"/>
  <c r="AT621" i="1"/>
  <c r="AT622" i="1"/>
  <c r="AT623" i="1"/>
  <c r="AT624" i="1"/>
  <c r="AT625" i="1"/>
  <c r="AV620" i="1"/>
  <c r="AV621" i="1"/>
  <c r="AV622" i="1"/>
  <c r="AV623" i="1"/>
  <c r="AV624" i="1"/>
  <c r="AV625" i="1"/>
  <c r="AV619" i="1"/>
  <c r="AU619" i="1"/>
  <c r="AT619" i="1"/>
  <c r="AJ619" i="1"/>
  <c r="AI619" i="1"/>
  <c r="AG619" i="1"/>
  <c r="AF619" i="1"/>
  <c r="AH619" i="1"/>
  <c r="AE619" i="1"/>
  <c r="AD619" i="1"/>
  <c r="CG616" i="1"/>
  <c r="CG617" i="1"/>
  <c r="CG618" i="1"/>
  <c r="CE616" i="1"/>
  <c r="CE617" i="1"/>
  <c r="CE618" i="1"/>
  <c r="CG615" i="1"/>
  <c r="CF615" i="1"/>
  <c r="CE615" i="1"/>
  <c r="BS615" i="1"/>
  <c r="BP615" i="1"/>
  <c r="BO615" i="1"/>
  <c r="BU615" i="1"/>
  <c r="BT615" i="1"/>
  <c r="BR615" i="1"/>
  <c r="BQ615" i="1"/>
  <c r="AV616" i="1"/>
  <c r="AV617" i="1"/>
  <c r="AV618" i="1"/>
  <c r="AT616" i="1"/>
  <c r="AT617" i="1"/>
  <c r="AT618" i="1"/>
  <c r="AJ615" i="1"/>
  <c r="AI615" i="1"/>
  <c r="AG615" i="1"/>
  <c r="AF615" i="1"/>
  <c r="AH615" i="1"/>
  <c r="AE615" i="1"/>
  <c r="AD615" i="1"/>
  <c r="CG613" i="1"/>
  <c r="CG614" i="1"/>
  <c r="CE613" i="1"/>
  <c r="CE614" i="1"/>
  <c r="CG612" i="1"/>
  <c r="CF612" i="1"/>
  <c r="CE612" i="1"/>
  <c r="BS612" i="1"/>
  <c r="BP612" i="1"/>
  <c r="BO612" i="1"/>
  <c r="BU612" i="1"/>
  <c r="BT612" i="1"/>
  <c r="BR612" i="1"/>
  <c r="BQ612" i="1"/>
  <c r="AV612" i="1"/>
  <c r="AU612" i="1"/>
  <c r="AT612" i="1"/>
  <c r="AJ612" i="1"/>
  <c r="AI612" i="1"/>
  <c r="AG612" i="1"/>
  <c r="AF612" i="1"/>
  <c r="AH612" i="1"/>
  <c r="AE612" i="1"/>
  <c r="AD612" i="1"/>
  <c r="CG605" i="1"/>
  <c r="CG606" i="1"/>
  <c r="CG607" i="1"/>
  <c r="CG608" i="1"/>
  <c r="CG609" i="1"/>
  <c r="CG610" i="1"/>
  <c r="CG611" i="1"/>
  <c r="CE605" i="1"/>
  <c r="CE606" i="1"/>
  <c r="CE607" i="1"/>
  <c r="CE608" i="1"/>
  <c r="CE609" i="1"/>
  <c r="CE610" i="1"/>
  <c r="CE611" i="1"/>
  <c r="CG604" i="1"/>
  <c r="CF604" i="1"/>
  <c r="CE604" i="1"/>
  <c r="BU604" i="1"/>
  <c r="BT604" i="1"/>
  <c r="BR604" i="1"/>
  <c r="BQ604" i="1"/>
  <c r="BS604" i="1"/>
  <c r="BP604" i="1"/>
  <c r="BO604" i="1"/>
  <c r="AV605" i="1"/>
  <c r="AV606" i="1"/>
  <c r="AV607" i="1"/>
  <c r="AV608" i="1"/>
  <c r="AV609" i="1"/>
  <c r="AV610" i="1"/>
  <c r="AV611" i="1"/>
  <c r="AT605" i="1"/>
  <c r="AT606" i="1"/>
  <c r="AT607" i="1"/>
  <c r="AT608" i="1"/>
  <c r="AT609" i="1"/>
  <c r="AT610" i="1"/>
  <c r="AT611" i="1"/>
  <c r="AV604" i="1"/>
  <c r="AU604" i="1"/>
  <c r="AT604" i="1"/>
  <c r="AJ604" i="1"/>
  <c r="AI604" i="1"/>
  <c r="AG604" i="1"/>
  <c r="AF604" i="1"/>
  <c r="AH604" i="1"/>
  <c r="AE604" i="1"/>
  <c r="AD604" i="1"/>
  <c r="CG599" i="1"/>
  <c r="CG600" i="1"/>
  <c r="CG601" i="1"/>
  <c r="CG602" i="1"/>
  <c r="CG603" i="1"/>
  <c r="CE599" i="1"/>
  <c r="CE600" i="1"/>
  <c r="CE601" i="1"/>
  <c r="CE602" i="1"/>
  <c r="CE603" i="1"/>
  <c r="CG598" i="1"/>
  <c r="CF598" i="1"/>
  <c r="CE598" i="1"/>
  <c r="BS598" i="1"/>
  <c r="BP598" i="1"/>
  <c r="BO598" i="1"/>
  <c r="BU598" i="1"/>
  <c r="BT598" i="1"/>
  <c r="BR598" i="1"/>
  <c r="BQ598" i="1"/>
  <c r="AV599" i="1"/>
  <c r="AV600" i="1"/>
  <c r="AV601" i="1"/>
  <c r="AV602" i="1"/>
  <c r="AV603" i="1"/>
  <c r="AT599" i="1"/>
  <c r="AT600" i="1"/>
  <c r="AT601" i="1"/>
  <c r="AT602" i="1"/>
  <c r="AT603" i="1"/>
  <c r="AV598" i="1"/>
  <c r="AU598" i="1"/>
  <c r="AT598" i="1"/>
  <c r="AJ598" i="1"/>
  <c r="AI598" i="1"/>
  <c r="AG598" i="1"/>
  <c r="AF598" i="1"/>
  <c r="AH598" i="1"/>
  <c r="AE598" i="1"/>
  <c r="AD598" i="1"/>
  <c r="CG592" i="1"/>
  <c r="CG593" i="1"/>
  <c r="CG594" i="1"/>
  <c r="CG595" i="1"/>
  <c r="CG596" i="1"/>
  <c r="CG597" i="1"/>
  <c r="CE592" i="1"/>
  <c r="CE593" i="1"/>
  <c r="CE594" i="1"/>
  <c r="CE595" i="1"/>
  <c r="CE596" i="1"/>
  <c r="CE597" i="1"/>
  <c r="CG591" i="1"/>
  <c r="CF591" i="1"/>
  <c r="CE591" i="1"/>
  <c r="AV592" i="1"/>
  <c r="AV593" i="1"/>
  <c r="AV594" i="1"/>
  <c r="AV595" i="1"/>
  <c r="AV596" i="1"/>
  <c r="AV597" i="1"/>
  <c r="AT592" i="1"/>
  <c r="AT593" i="1"/>
  <c r="AT594" i="1"/>
  <c r="AT595" i="1"/>
  <c r="AT596" i="1"/>
  <c r="AT597" i="1"/>
  <c r="AV591" i="1"/>
  <c r="AU591" i="1"/>
  <c r="AT591" i="1"/>
  <c r="BO591" i="1"/>
  <c r="BP591" i="1"/>
  <c r="BS591" i="1"/>
  <c r="BU591" i="1"/>
  <c r="BT591" i="1"/>
  <c r="BR591" i="1"/>
  <c r="BQ591" i="1"/>
  <c r="AJ591" i="1"/>
  <c r="AI591" i="1"/>
  <c r="AG591" i="1"/>
  <c r="AF591" i="1"/>
  <c r="AH591" i="1"/>
  <c r="AE591" i="1"/>
  <c r="AD591" i="1"/>
  <c r="CH618" i="1"/>
  <c r="CH619" i="1"/>
  <c r="CH620" i="1"/>
  <c r="CH621" i="1"/>
  <c r="CH622" i="1"/>
  <c r="CH623" i="1"/>
  <c r="CH624" i="1"/>
  <c r="CH625" i="1"/>
  <c r="CH626" i="1"/>
  <c r="CH627" i="1"/>
  <c r="CH628" i="1"/>
  <c r="CH629" i="1"/>
  <c r="CH630" i="1"/>
  <c r="CH631" i="1"/>
  <c r="CH632" i="1"/>
  <c r="CH633" i="1"/>
  <c r="CH634" i="1"/>
  <c r="CH635" i="1"/>
  <c r="CH636" i="1"/>
  <c r="CH637" i="1"/>
  <c r="CH638" i="1"/>
  <c r="CH639" i="1"/>
  <c r="CH640" i="1"/>
  <c r="CH641" i="1"/>
  <c r="CH642" i="1"/>
  <c r="CH643" i="1"/>
  <c r="CH644" i="1"/>
  <c r="CH645" i="1"/>
  <c r="CH646" i="1"/>
  <c r="CH647" i="1"/>
  <c r="CH648" i="1"/>
  <c r="CH649" i="1"/>
  <c r="CH650" i="1"/>
  <c r="CH651" i="1"/>
  <c r="CH652" i="1"/>
  <c r="CH653" i="1"/>
  <c r="CH654" i="1"/>
  <c r="CH655" i="1"/>
  <c r="CH656" i="1"/>
  <c r="CH657" i="1"/>
  <c r="CH658" i="1"/>
  <c r="CH659" i="1"/>
  <c r="CH660" i="1"/>
  <c r="CB618" i="1"/>
  <c r="CC618" i="1" s="1"/>
  <c r="CD618" i="1"/>
  <c r="CB619" i="1"/>
  <c r="CC619" i="1" s="1"/>
  <c r="CB620" i="1"/>
  <c r="CD620" i="1" s="1"/>
  <c r="CC620" i="1"/>
  <c r="CB621" i="1"/>
  <c r="CC621" i="1"/>
  <c r="CD621" i="1"/>
  <c r="CB622" i="1"/>
  <c r="CC622" i="1" s="1"/>
  <c r="CD622" i="1"/>
  <c r="CB623" i="1"/>
  <c r="CC623" i="1" s="1"/>
  <c r="CB624" i="1"/>
  <c r="CD624" i="1" s="1"/>
  <c r="CB625" i="1"/>
  <c r="CC625" i="1"/>
  <c r="CD625" i="1"/>
  <c r="CB626" i="1"/>
  <c r="CC626" i="1" s="1"/>
  <c r="CD626" i="1"/>
  <c r="CB627" i="1"/>
  <c r="CC627" i="1" s="1"/>
  <c r="CB628" i="1"/>
  <c r="CD628" i="1" s="1"/>
  <c r="CB629" i="1"/>
  <c r="CC629" i="1"/>
  <c r="CD629" i="1"/>
  <c r="CB630" i="1"/>
  <c r="CC630" i="1" s="1"/>
  <c r="CD630" i="1"/>
  <c r="CB631" i="1"/>
  <c r="CC631" i="1" s="1"/>
  <c r="CB632" i="1"/>
  <c r="CD632" i="1" s="1"/>
  <c r="CC632" i="1"/>
  <c r="CB633" i="1"/>
  <c r="CC633" i="1"/>
  <c r="CD633" i="1"/>
  <c r="CB634" i="1"/>
  <c r="CC634" i="1" s="1"/>
  <c r="CD634" i="1"/>
  <c r="CB635" i="1"/>
  <c r="CC635" i="1" s="1"/>
  <c r="CB636" i="1"/>
  <c r="CD636" i="1" s="1"/>
  <c r="CB637" i="1"/>
  <c r="CC637" i="1"/>
  <c r="CD637" i="1"/>
  <c r="CB638" i="1"/>
  <c r="CC638" i="1" s="1"/>
  <c r="CD638" i="1"/>
  <c r="CB639" i="1"/>
  <c r="CC639" i="1" s="1"/>
  <c r="CB640" i="1"/>
  <c r="CD640" i="1" s="1"/>
  <c r="CC640" i="1"/>
  <c r="CB641" i="1"/>
  <c r="CC641" i="1"/>
  <c r="CD641" i="1"/>
  <c r="CB642" i="1"/>
  <c r="CC642" i="1" s="1"/>
  <c r="CD642" i="1"/>
  <c r="CB643" i="1"/>
  <c r="CC643" i="1" s="1"/>
  <c r="CB644" i="1"/>
  <c r="CD644" i="1" s="1"/>
  <c r="CB645" i="1"/>
  <c r="CC645" i="1"/>
  <c r="CD645" i="1"/>
  <c r="CB646" i="1"/>
  <c r="CC646" i="1" s="1"/>
  <c r="CD646" i="1"/>
  <c r="CB647" i="1"/>
  <c r="CC647" i="1" s="1"/>
  <c r="CB648" i="1"/>
  <c r="CD648" i="1" s="1"/>
  <c r="CC648" i="1"/>
  <c r="CB649" i="1"/>
  <c r="CC649" i="1"/>
  <c r="CD649" i="1"/>
  <c r="CB650" i="1"/>
  <c r="CC650" i="1" s="1"/>
  <c r="CD650" i="1"/>
  <c r="CB651" i="1"/>
  <c r="CC651" i="1" s="1"/>
  <c r="CB652" i="1"/>
  <c r="CD652" i="1" s="1"/>
  <c r="CB653" i="1"/>
  <c r="CC653" i="1"/>
  <c r="CD653" i="1"/>
  <c r="CB654" i="1"/>
  <c r="CC654" i="1" s="1"/>
  <c r="CD654" i="1"/>
  <c r="CB655" i="1"/>
  <c r="CC655" i="1" s="1"/>
  <c r="CB656" i="1"/>
  <c r="CD656" i="1" s="1"/>
  <c r="CC656" i="1"/>
  <c r="CB657" i="1"/>
  <c r="CC657" i="1"/>
  <c r="CD657" i="1"/>
  <c r="CB658" i="1"/>
  <c r="CC658" i="1" s="1"/>
  <c r="CD658" i="1"/>
  <c r="CB659" i="1"/>
  <c r="CC659" i="1" s="1"/>
  <c r="CB660" i="1"/>
  <c r="CD660" i="1" s="1"/>
  <c r="BY618" i="1"/>
  <c r="BZ618" i="1"/>
  <c r="BY619" i="1"/>
  <c r="BZ619" i="1"/>
  <c r="BY620" i="1"/>
  <c r="BZ620" i="1"/>
  <c r="BY621" i="1"/>
  <c r="BZ621" i="1"/>
  <c r="BY622" i="1"/>
  <c r="BZ622" i="1"/>
  <c r="BY623" i="1"/>
  <c r="BZ623" i="1"/>
  <c r="BY624" i="1"/>
  <c r="BY625" i="1"/>
  <c r="BY626" i="1"/>
  <c r="BZ626" i="1"/>
  <c r="BY627" i="1"/>
  <c r="BZ627" i="1"/>
  <c r="BY628" i="1"/>
  <c r="BZ628" i="1"/>
  <c r="BY629" i="1"/>
  <c r="BZ629" i="1"/>
  <c r="BY630" i="1"/>
  <c r="BZ630" i="1"/>
  <c r="BY631" i="1"/>
  <c r="BZ631" i="1"/>
  <c r="BY632" i="1"/>
  <c r="BY633" i="1"/>
  <c r="BZ633" i="1"/>
  <c r="BY634" i="1"/>
  <c r="BY635" i="1"/>
  <c r="BZ635" i="1"/>
  <c r="BY636" i="1"/>
  <c r="BY637" i="1"/>
  <c r="BZ637" i="1"/>
  <c r="BY638" i="1"/>
  <c r="BY639" i="1"/>
  <c r="BZ639" i="1"/>
  <c r="BY640" i="1"/>
  <c r="BY641" i="1"/>
  <c r="BY642" i="1"/>
  <c r="BY643" i="1"/>
  <c r="BY644" i="1"/>
  <c r="BY645" i="1"/>
  <c r="BY646" i="1"/>
  <c r="BY647" i="1"/>
  <c r="BY648" i="1"/>
  <c r="BY649" i="1"/>
  <c r="BY650" i="1"/>
  <c r="BY651" i="1"/>
  <c r="BY652" i="1"/>
  <c r="BY653" i="1"/>
  <c r="BY654" i="1"/>
  <c r="BY655" i="1"/>
  <c r="BY656" i="1"/>
  <c r="BY657" i="1"/>
  <c r="BY658" i="1"/>
  <c r="BY659" i="1"/>
  <c r="BY660" i="1"/>
  <c r="AW618" i="1"/>
  <c r="AW619" i="1"/>
  <c r="AW620" i="1"/>
  <c r="AW621" i="1"/>
  <c r="AW622" i="1"/>
  <c r="AW623" i="1"/>
  <c r="AW624" i="1"/>
  <c r="AW625" i="1"/>
  <c r="AW626" i="1"/>
  <c r="AW627" i="1"/>
  <c r="AW628" i="1"/>
  <c r="AW629" i="1"/>
  <c r="AW630" i="1"/>
  <c r="AW631" i="1"/>
  <c r="AW632" i="1"/>
  <c r="AW633" i="1"/>
  <c r="AW634" i="1"/>
  <c r="AW635" i="1"/>
  <c r="AW636" i="1"/>
  <c r="AW637" i="1"/>
  <c r="AW638" i="1"/>
  <c r="AW639" i="1"/>
  <c r="AW640" i="1"/>
  <c r="AW641" i="1"/>
  <c r="AW642" i="1"/>
  <c r="AW643" i="1"/>
  <c r="AW644" i="1"/>
  <c r="AW645" i="1"/>
  <c r="AW646" i="1"/>
  <c r="AW647" i="1"/>
  <c r="AW648" i="1"/>
  <c r="AW649" i="1"/>
  <c r="AW650" i="1"/>
  <c r="AW651" i="1"/>
  <c r="AW652" i="1"/>
  <c r="AW653" i="1"/>
  <c r="AW654" i="1"/>
  <c r="AW655" i="1"/>
  <c r="AW656" i="1"/>
  <c r="AW657" i="1"/>
  <c r="AW658" i="1"/>
  <c r="AW659" i="1"/>
  <c r="AW660" i="1"/>
  <c r="AQ618" i="1"/>
  <c r="AR618" i="1"/>
  <c r="AS618" i="1"/>
  <c r="AQ619" i="1"/>
  <c r="AR619" i="1" s="1"/>
  <c r="AQ620" i="1"/>
  <c r="AS620" i="1" s="1"/>
  <c r="AR620" i="1"/>
  <c r="AQ621" i="1"/>
  <c r="AS621" i="1"/>
  <c r="AQ622" i="1"/>
  <c r="AR622" i="1"/>
  <c r="AS622" i="1"/>
  <c r="AQ623" i="1"/>
  <c r="AR623" i="1" s="1"/>
  <c r="AQ624" i="1"/>
  <c r="AS624" i="1" s="1"/>
  <c r="AR624" i="1"/>
  <c r="AQ625" i="1"/>
  <c r="AS625" i="1"/>
  <c r="AQ626" i="1"/>
  <c r="AR626" i="1"/>
  <c r="AS626" i="1"/>
  <c r="AQ627" i="1"/>
  <c r="AR627" i="1" s="1"/>
  <c r="AQ628" i="1"/>
  <c r="AS628" i="1" s="1"/>
  <c r="AQ629" i="1"/>
  <c r="AR629" i="1"/>
  <c r="AS629" i="1"/>
  <c r="AQ630" i="1"/>
  <c r="AR630" i="1"/>
  <c r="AS630" i="1"/>
  <c r="AQ631" i="1"/>
  <c r="AR631" i="1" s="1"/>
  <c r="AQ632" i="1"/>
  <c r="AS632" i="1" s="1"/>
  <c r="AQ633" i="1"/>
  <c r="AS633" i="1"/>
  <c r="AQ634" i="1"/>
  <c r="AR634" i="1"/>
  <c r="AS634" i="1"/>
  <c r="AQ635" i="1"/>
  <c r="AR635" i="1" s="1"/>
  <c r="AQ636" i="1"/>
  <c r="AS636" i="1" s="1"/>
  <c r="AR636" i="1"/>
  <c r="AQ637" i="1"/>
  <c r="AS637" i="1"/>
  <c r="AQ638" i="1"/>
  <c r="AR638" i="1"/>
  <c r="AS638" i="1"/>
  <c r="AQ639" i="1"/>
  <c r="AR639" i="1" s="1"/>
  <c r="AQ640" i="1"/>
  <c r="AS640" i="1" s="1"/>
  <c r="AQ641" i="1"/>
  <c r="AR641" i="1"/>
  <c r="AS641" i="1"/>
  <c r="AQ642" i="1"/>
  <c r="AR642" i="1"/>
  <c r="AS642" i="1"/>
  <c r="AQ643" i="1"/>
  <c r="AR643" i="1" s="1"/>
  <c r="AQ644" i="1"/>
  <c r="AS644" i="1" s="1"/>
  <c r="AR644" i="1"/>
  <c r="AQ645" i="1"/>
  <c r="AR646" i="1" s="1"/>
  <c r="AS645" i="1"/>
  <c r="AQ646" i="1"/>
  <c r="AS646" i="1"/>
  <c r="AQ647" i="1"/>
  <c r="AR647" i="1" s="1"/>
  <c r="AQ648" i="1"/>
  <c r="AS648" i="1" s="1"/>
  <c r="AQ649" i="1"/>
  <c r="AR650" i="1" s="1"/>
  <c r="AR649" i="1"/>
  <c r="AS649" i="1"/>
  <c r="AQ650" i="1"/>
  <c r="AS650" i="1"/>
  <c r="AQ651" i="1"/>
  <c r="AR651" i="1" s="1"/>
  <c r="AQ652" i="1"/>
  <c r="AS652" i="1" s="1"/>
  <c r="AQ653" i="1"/>
  <c r="AR654" i="1" s="1"/>
  <c r="AS653" i="1"/>
  <c r="AQ654" i="1"/>
  <c r="AS654" i="1"/>
  <c r="AQ655" i="1"/>
  <c r="AR655" i="1" s="1"/>
  <c r="AQ656" i="1"/>
  <c r="AS656" i="1" s="1"/>
  <c r="AQ657" i="1"/>
  <c r="AR658" i="1" s="1"/>
  <c r="AS657" i="1"/>
  <c r="AQ658" i="1"/>
  <c r="AS658" i="1"/>
  <c r="AQ659" i="1"/>
  <c r="AR659" i="1" s="1"/>
  <c r="AQ660" i="1"/>
  <c r="AS660" i="1" s="1"/>
  <c r="AR660" i="1"/>
  <c r="AN617" i="1"/>
  <c r="AO617" i="1"/>
  <c r="AN618" i="1"/>
  <c r="AO618" i="1" s="1"/>
  <c r="AN619" i="1"/>
  <c r="AO619" i="1"/>
  <c r="AN620" i="1"/>
  <c r="AO620" i="1" s="1"/>
  <c r="AN621" i="1"/>
  <c r="AO621" i="1"/>
  <c r="AN622" i="1"/>
  <c r="AO622" i="1" s="1"/>
  <c r="AN623" i="1"/>
  <c r="AO623" i="1"/>
  <c r="AN624" i="1"/>
  <c r="AO624" i="1" s="1"/>
  <c r="AN625" i="1"/>
  <c r="AN626" i="1"/>
  <c r="AO626" i="1" s="1"/>
  <c r="AN627" i="1"/>
  <c r="AO627" i="1"/>
  <c r="AN628" i="1"/>
  <c r="AO628" i="1" s="1"/>
  <c r="AN629" i="1"/>
  <c r="AO629" i="1"/>
  <c r="AN630" i="1"/>
  <c r="AO630" i="1" s="1"/>
  <c r="AN631" i="1"/>
  <c r="AO631" i="1"/>
  <c r="AN632" i="1"/>
  <c r="AN633" i="1"/>
  <c r="AO633" i="1"/>
  <c r="AN634" i="1"/>
  <c r="AN635" i="1"/>
  <c r="AO635" i="1"/>
  <c r="AN636" i="1"/>
  <c r="AO636" i="1" s="1"/>
  <c r="AN637" i="1"/>
  <c r="AO637" i="1"/>
  <c r="AN638" i="1"/>
  <c r="AN639" i="1"/>
  <c r="AO639" i="1"/>
  <c r="AN640" i="1"/>
  <c r="AN641" i="1"/>
  <c r="AN642" i="1"/>
  <c r="AN643" i="1"/>
  <c r="AN644" i="1"/>
  <c r="AN645" i="1"/>
  <c r="AN646" i="1"/>
  <c r="AN647" i="1"/>
  <c r="AN648" i="1"/>
  <c r="AN649" i="1"/>
  <c r="AN650" i="1"/>
  <c r="AN651" i="1"/>
  <c r="AN652" i="1"/>
  <c r="AN653" i="1"/>
  <c r="AN654" i="1"/>
  <c r="AN655" i="1"/>
  <c r="AN656" i="1"/>
  <c r="AN657" i="1"/>
  <c r="AN658" i="1"/>
  <c r="AN659" i="1"/>
  <c r="AN660" i="1"/>
  <c r="B615" i="1"/>
  <c r="C615" i="1" s="1"/>
  <c r="A659" i="1"/>
  <c r="A660" i="1"/>
  <c r="A661" i="1" s="1"/>
  <c r="A662" i="1" s="1"/>
  <c r="A663" i="1" s="1"/>
  <c r="A664" i="1" s="1"/>
  <c r="A665" i="1" s="1"/>
  <c r="A666" i="1" s="1"/>
  <c r="A667" i="1" s="1"/>
  <c r="A668" i="1" s="1"/>
  <c r="A669" i="1" s="1"/>
  <c r="A645" i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27" i="1"/>
  <c r="A628" i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C710" i="1" l="1"/>
  <c r="B711" i="1"/>
  <c r="C701" i="1"/>
  <c r="B702" i="1"/>
  <c r="C702" i="1" s="1"/>
  <c r="CC685" i="1"/>
  <c r="BY685" i="1"/>
  <c r="BZ685" i="1" s="1"/>
  <c r="CD685" i="1"/>
  <c r="B687" i="1"/>
  <c r="C686" i="1"/>
  <c r="BZ684" i="1"/>
  <c r="C674" i="1"/>
  <c r="A675" i="1"/>
  <c r="CC660" i="1"/>
  <c r="CC652" i="1"/>
  <c r="CC628" i="1"/>
  <c r="CC624" i="1"/>
  <c r="CD659" i="1"/>
  <c r="CD655" i="1"/>
  <c r="CD651" i="1"/>
  <c r="CD647" i="1"/>
  <c r="CD643" i="1"/>
  <c r="CD639" i="1"/>
  <c r="CD635" i="1"/>
  <c r="CD631" i="1"/>
  <c r="CD627" i="1"/>
  <c r="CD623" i="1"/>
  <c r="CD619" i="1"/>
  <c r="CC644" i="1"/>
  <c r="CC636" i="1"/>
  <c r="AR640" i="1"/>
  <c r="AR632" i="1"/>
  <c r="AR628" i="1"/>
  <c r="AR645" i="1"/>
  <c r="AR633" i="1"/>
  <c r="AS639" i="1"/>
  <c r="AS635" i="1"/>
  <c r="AS631" i="1"/>
  <c r="AS627" i="1"/>
  <c r="AS623" i="1"/>
  <c r="AS619" i="1"/>
  <c r="AR656" i="1"/>
  <c r="AR652" i="1"/>
  <c r="AR648" i="1"/>
  <c r="AR657" i="1"/>
  <c r="AR653" i="1"/>
  <c r="AR637" i="1"/>
  <c r="AR625" i="1"/>
  <c r="AR621" i="1"/>
  <c r="AS659" i="1"/>
  <c r="AS655" i="1"/>
  <c r="AS651" i="1"/>
  <c r="AS647" i="1"/>
  <c r="AS643" i="1"/>
  <c r="B616" i="1"/>
  <c r="BS583" i="1"/>
  <c r="BP583" i="1"/>
  <c r="BO583" i="1"/>
  <c r="BU583" i="1"/>
  <c r="BT583" i="1"/>
  <c r="BR583" i="1"/>
  <c r="BQ583" i="1"/>
  <c r="AJ583" i="1"/>
  <c r="AI583" i="1"/>
  <c r="AG583" i="1"/>
  <c r="AF583" i="1"/>
  <c r="AH583" i="1"/>
  <c r="AE583" i="1"/>
  <c r="AD583" i="1"/>
  <c r="BS578" i="1"/>
  <c r="BP578" i="1"/>
  <c r="BO578" i="1"/>
  <c r="BU578" i="1"/>
  <c r="BT578" i="1"/>
  <c r="BR578" i="1"/>
  <c r="BQ578" i="1"/>
  <c r="AJ578" i="1"/>
  <c r="AI578" i="1"/>
  <c r="AG578" i="1"/>
  <c r="AF578" i="1"/>
  <c r="AH578" i="1"/>
  <c r="AE578" i="1"/>
  <c r="AD578" i="1"/>
  <c r="C711" i="1" l="1"/>
  <c r="B712" i="1"/>
  <c r="CF702" i="1"/>
  <c r="AU702" i="1"/>
  <c r="C687" i="1"/>
  <c r="B688" i="1"/>
  <c r="CG684" i="1"/>
  <c r="CE685" i="1"/>
  <c r="CE684" i="1"/>
  <c r="BY686" i="1"/>
  <c r="BZ686" i="1" s="1"/>
  <c r="CC686" i="1"/>
  <c r="CD686" i="1"/>
  <c r="C675" i="1"/>
  <c r="A676" i="1"/>
  <c r="B617" i="1"/>
  <c r="C616" i="1"/>
  <c r="AH570" i="1"/>
  <c r="AE570" i="1"/>
  <c r="AD570" i="1"/>
  <c r="AJ570" i="1"/>
  <c r="AI570" i="1"/>
  <c r="AG570" i="1"/>
  <c r="AF570" i="1"/>
  <c r="BU570" i="1"/>
  <c r="BT570" i="1"/>
  <c r="BS570" i="1"/>
  <c r="BR570" i="1"/>
  <c r="BQ570" i="1"/>
  <c r="BP570" i="1"/>
  <c r="BO570" i="1"/>
  <c r="C712" i="1" l="1"/>
  <c r="B713" i="1"/>
  <c r="B689" i="1"/>
  <c r="C688" i="1"/>
  <c r="CG685" i="1"/>
  <c r="CC687" i="1"/>
  <c r="CD687" i="1"/>
  <c r="BY687" i="1"/>
  <c r="BZ687" i="1" s="1"/>
  <c r="C676" i="1"/>
  <c r="A677" i="1"/>
  <c r="C617" i="1"/>
  <c r="B618" i="1"/>
  <c r="BU568" i="1"/>
  <c r="BT568" i="1"/>
  <c r="BS568" i="1"/>
  <c r="BR568" i="1"/>
  <c r="BQ568" i="1"/>
  <c r="BP568" i="1"/>
  <c r="BO568" i="1"/>
  <c r="AJ568" i="1"/>
  <c r="AI568" i="1"/>
  <c r="AH568" i="1"/>
  <c r="AG568" i="1"/>
  <c r="AF568" i="1"/>
  <c r="AE568" i="1"/>
  <c r="AD568" i="1"/>
  <c r="BU563" i="1"/>
  <c r="BT563" i="1"/>
  <c r="BS563" i="1"/>
  <c r="BR563" i="1"/>
  <c r="BQ563" i="1"/>
  <c r="BP563" i="1"/>
  <c r="BO563" i="1"/>
  <c r="AJ563" i="1"/>
  <c r="AI563" i="1"/>
  <c r="AG563" i="1"/>
  <c r="AF563" i="1"/>
  <c r="AH563" i="1"/>
  <c r="AE563" i="1"/>
  <c r="AD563" i="1"/>
  <c r="C713" i="1" l="1"/>
  <c r="B714" i="1"/>
  <c r="BY688" i="1"/>
  <c r="BZ688" i="1" s="1"/>
  <c r="CC688" i="1"/>
  <c r="CD688" i="1"/>
  <c r="CE686" i="1"/>
  <c r="B690" i="1"/>
  <c r="C689" i="1"/>
  <c r="CG686" i="1"/>
  <c r="CE687" i="1"/>
  <c r="A678" i="1"/>
  <c r="C677" i="1"/>
  <c r="B619" i="1"/>
  <c r="C618" i="1"/>
  <c r="BU556" i="1"/>
  <c r="BT556" i="1"/>
  <c r="BR556" i="1"/>
  <c r="BQ556" i="1"/>
  <c r="BS556" i="1"/>
  <c r="BP556" i="1"/>
  <c r="BO556" i="1"/>
  <c r="AJ556" i="1"/>
  <c r="AI556" i="1"/>
  <c r="AG556" i="1"/>
  <c r="AF556" i="1"/>
  <c r="AH556" i="1"/>
  <c r="AE556" i="1"/>
  <c r="AD556" i="1"/>
  <c r="BU550" i="1"/>
  <c r="BT550" i="1"/>
  <c r="BR550" i="1"/>
  <c r="BQ550" i="1"/>
  <c r="BS550" i="1"/>
  <c r="BP550" i="1"/>
  <c r="BO550" i="1"/>
  <c r="AJ550" i="1"/>
  <c r="AI550" i="1"/>
  <c r="AG550" i="1"/>
  <c r="AF550" i="1"/>
  <c r="AH550" i="1"/>
  <c r="AE550" i="1"/>
  <c r="AD550" i="1"/>
  <c r="BS549" i="1"/>
  <c r="BP549" i="1"/>
  <c r="BO549" i="1"/>
  <c r="BU549" i="1"/>
  <c r="BT549" i="1"/>
  <c r="BR549" i="1"/>
  <c r="BQ549" i="1"/>
  <c r="AJ549" i="1"/>
  <c r="AI549" i="1"/>
  <c r="AG549" i="1"/>
  <c r="AF549" i="1"/>
  <c r="AH549" i="1"/>
  <c r="AE549" i="1"/>
  <c r="AD549" i="1"/>
  <c r="C714" i="1" l="1"/>
  <c r="B715" i="1"/>
  <c r="C715" i="1" s="1"/>
  <c r="B691" i="1"/>
  <c r="C690" i="1"/>
  <c r="CC689" i="1"/>
  <c r="BY689" i="1"/>
  <c r="CD689" i="1"/>
  <c r="C678" i="1"/>
  <c r="A679" i="1"/>
  <c r="C679" i="1" s="1"/>
  <c r="C619" i="1"/>
  <c r="B620" i="1"/>
  <c r="BU542" i="1"/>
  <c r="BT542" i="1"/>
  <c r="BR542" i="1"/>
  <c r="BQ542" i="1"/>
  <c r="BS542" i="1"/>
  <c r="BP542" i="1"/>
  <c r="BO542" i="1"/>
  <c r="AJ542" i="1"/>
  <c r="AI542" i="1"/>
  <c r="AG542" i="1"/>
  <c r="AF542" i="1"/>
  <c r="AH542" i="1"/>
  <c r="AE542" i="1"/>
  <c r="AD542" i="1"/>
  <c r="BS537" i="1"/>
  <c r="BP537" i="1"/>
  <c r="BO537" i="1"/>
  <c r="BU537" i="1"/>
  <c r="BT537" i="1"/>
  <c r="BR537" i="1"/>
  <c r="BQ537" i="1"/>
  <c r="AJ537" i="1"/>
  <c r="AI537" i="1"/>
  <c r="AG537" i="1"/>
  <c r="AF537" i="1"/>
  <c r="AH537" i="1"/>
  <c r="AE537" i="1"/>
  <c r="AD537" i="1"/>
  <c r="BS535" i="1"/>
  <c r="BP535" i="1"/>
  <c r="BO535" i="1"/>
  <c r="BU535" i="1"/>
  <c r="BT535" i="1"/>
  <c r="BR535" i="1"/>
  <c r="BQ535" i="1"/>
  <c r="AJ535" i="1"/>
  <c r="AI535" i="1"/>
  <c r="AG535" i="1"/>
  <c r="AF535" i="1"/>
  <c r="AH535" i="1"/>
  <c r="AE535" i="1"/>
  <c r="AD535" i="1"/>
  <c r="C691" i="1" l="1"/>
  <c r="B692" i="1"/>
  <c r="BZ689" i="1"/>
  <c r="BY690" i="1"/>
  <c r="BZ690" i="1" s="1"/>
  <c r="CC690" i="1"/>
  <c r="CD690" i="1"/>
  <c r="B621" i="1"/>
  <c r="C620" i="1"/>
  <c r="BU529" i="1"/>
  <c r="BT529" i="1"/>
  <c r="BR529" i="1"/>
  <c r="BQ529" i="1"/>
  <c r="BS529" i="1"/>
  <c r="BP529" i="1"/>
  <c r="BO529" i="1"/>
  <c r="AJ529" i="1"/>
  <c r="AI529" i="1"/>
  <c r="AG529" i="1"/>
  <c r="AF529" i="1"/>
  <c r="AH529" i="1"/>
  <c r="AE529" i="1"/>
  <c r="AD529" i="1"/>
  <c r="BU528" i="1"/>
  <c r="BT528" i="1"/>
  <c r="BR528" i="1"/>
  <c r="BQ528" i="1"/>
  <c r="AJ528" i="1"/>
  <c r="AI528" i="1"/>
  <c r="AG528" i="1"/>
  <c r="AF528" i="1"/>
  <c r="BS528" i="1"/>
  <c r="BP528" i="1"/>
  <c r="BO528" i="1"/>
  <c r="AH528" i="1"/>
  <c r="AE528" i="1"/>
  <c r="AD528" i="1"/>
  <c r="CC691" i="1" l="1"/>
  <c r="CD691" i="1"/>
  <c r="BY691" i="1"/>
  <c r="BZ691" i="1" s="1"/>
  <c r="B693" i="1"/>
  <c r="C692" i="1"/>
  <c r="C621" i="1"/>
  <c r="B622" i="1"/>
  <c r="BS525" i="1"/>
  <c r="BP525" i="1"/>
  <c r="BO525" i="1"/>
  <c r="BU525" i="1"/>
  <c r="BT525" i="1"/>
  <c r="BR525" i="1"/>
  <c r="BQ525" i="1"/>
  <c r="AJ525" i="1"/>
  <c r="AI525" i="1"/>
  <c r="AG525" i="1"/>
  <c r="AF525" i="1"/>
  <c r="AH525" i="1"/>
  <c r="AE525" i="1"/>
  <c r="AD525" i="1"/>
  <c r="BS521" i="1"/>
  <c r="BP521" i="1"/>
  <c r="BO521" i="1"/>
  <c r="BU521" i="1"/>
  <c r="BT521" i="1"/>
  <c r="BR521" i="1"/>
  <c r="BQ521" i="1"/>
  <c r="AH521" i="1"/>
  <c r="AE521" i="1"/>
  <c r="AD521" i="1"/>
  <c r="AJ521" i="1"/>
  <c r="AI521" i="1"/>
  <c r="AG521" i="1"/>
  <c r="AF521" i="1"/>
  <c r="BS512" i="1"/>
  <c r="BP512" i="1"/>
  <c r="BO512" i="1"/>
  <c r="BU512" i="1"/>
  <c r="BT512" i="1"/>
  <c r="BR512" i="1"/>
  <c r="BQ512" i="1"/>
  <c r="AJ512" i="1"/>
  <c r="AI512" i="1"/>
  <c r="AG512" i="1"/>
  <c r="AF512" i="1"/>
  <c r="AH512" i="1"/>
  <c r="AE512" i="1"/>
  <c r="AD512" i="1"/>
  <c r="BY692" i="1" l="1"/>
  <c r="CC692" i="1"/>
  <c r="CD692" i="1"/>
  <c r="B694" i="1"/>
  <c r="C693" i="1"/>
  <c r="B623" i="1"/>
  <c r="C622" i="1"/>
  <c r="BS507" i="1"/>
  <c r="BP507" i="1"/>
  <c r="BO507" i="1"/>
  <c r="BU507" i="1"/>
  <c r="BT507" i="1"/>
  <c r="BR507" i="1"/>
  <c r="BQ507" i="1"/>
  <c r="AH507" i="1"/>
  <c r="AE507" i="1"/>
  <c r="AD507" i="1"/>
  <c r="AJ507" i="1"/>
  <c r="AI507" i="1"/>
  <c r="AG507" i="1"/>
  <c r="AF507" i="1"/>
  <c r="BS505" i="1"/>
  <c r="BP505" i="1"/>
  <c r="BO505" i="1"/>
  <c r="BU505" i="1"/>
  <c r="BT505" i="1"/>
  <c r="BR505" i="1"/>
  <c r="BQ505" i="1"/>
  <c r="AJ505" i="1"/>
  <c r="AI505" i="1"/>
  <c r="AG505" i="1"/>
  <c r="AF505" i="1"/>
  <c r="AH505" i="1"/>
  <c r="AE505" i="1"/>
  <c r="AD505" i="1"/>
  <c r="BU498" i="1"/>
  <c r="BT498" i="1"/>
  <c r="BR498" i="1"/>
  <c r="BQ498" i="1"/>
  <c r="BS498" i="1"/>
  <c r="BP498" i="1"/>
  <c r="BO498" i="1"/>
  <c r="AH498" i="1"/>
  <c r="AE498" i="1"/>
  <c r="AD498" i="1"/>
  <c r="AJ498" i="1"/>
  <c r="AI498" i="1"/>
  <c r="AG498" i="1"/>
  <c r="AF498" i="1"/>
  <c r="BS494" i="1"/>
  <c r="BP494" i="1"/>
  <c r="BO494" i="1"/>
  <c r="BU494" i="1"/>
  <c r="BT494" i="1"/>
  <c r="BR494" i="1"/>
  <c r="BQ494" i="1"/>
  <c r="AJ494" i="1"/>
  <c r="AI494" i="1"/>
  <c r="AG494" i="1"/>
  <c r="AF494" i="1"/>
  <c r="AH494" i="1"/>
  <c r="AE494" i="1"/>
  <c r="AD494" i="1"/>
  <c r="B695" i="1" l="1"/>
  <c r="C695" i="1" s="1"/>
  <c r="C694" i="1"/>
  <c r="CC693" i="1"/>
  <c r="BY693" i="1"/>
  <c r="BZ693" i="1" s="1"/>
  <c r="CD693" i="1"/>
  <c r="BZ692" i="1"/>
  <c r="C623" i="1"/>
  <c r="B624" i="1"/>
  <c r="B498" i="1"/>
  <c r="B499" i="1" s="1"/>
  <c r="B494" i="1"/>
  <c r="BY694" i="1" l="1"/>
  <c r="BZ694" i="1" s="1"/>
  <c r="CC694" i="1"/>
  <c r="CD694" i="1"/>
  <c r="B625" i="1"/>
  <c r="C624" i="1"/>
  <c r="BS493" i="1"/>
  <c r="BP493" i="1"/>
  <c r="BO493" i="1"/>
  <c r="BU493" i="1"/>
  <c r="BT493" i="1"/>
  <c r="BR493" i="1"/>
  <c r="BQ493" i="1"/>
  <c r="AJ493" i="1"/>
  <c r="AI493" i="1"/>
  <c r="AG493" i="1"/>
  <c r="AF493" i="1"/>
  <c r="AH493" i="1"/>
  <c r="AE493" i="1"/>
  <c r="AD493" i="1"/>
  <c r="AW489" i="1"/>
  <c r="C625" i="1" l="1"/>
  <c r="B626" i="1"/>
  <c r="B500" i="1"/>
  <c r="B501" i="1" s="1"/>
  <c r="B627" i="1" l="1"/>
  <c r="C626" i="1"/>
  <c r="B506" i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03" i="1"/>
  <c r="B502" i="1"/>
  <c r="B505" i="1"/>
  <c r="B504" i="1"/>
  <c r="CH489" i="1"/>
  <c r="C627" i="1" l="1"/>
  <c r="B628" i="1"/>
  <c r="B536" i="1"/>
  <c r="B537" i="1" s="1"/>
  <c r="B538" i="1" s="1"/>
  <c r="B539" i="1" s="1"/>
  <c r="B540" i="1" s="1"/>
  <c r="B541" i="1" s="1"/>
  <c r="B542" i="1" s="1"/>
  <c r="B543" i="1" s="1"/>
  <c r="B544" i="1" s="1"/>
  <c r="BS486" i="1"/>
  <c r="BP486" i="1"/>
  <c r="BO486" i="1"/>
  <c r="BU486" i="1"/>
  <c r="BT486" i="1"/>
  <c r="BR486" i="1"/>
  <c r="BQ486" i="1"/>
  <c r="AJ486" i="1"/>
  <c r="AI486" i="1"/>
  <c r="AG486" i="1"/>
  <c r="AF486" i="1"/>
  <c r="AH486" i="1"/>
  <c r="AE486" i="1"/>
  <c r="AD486" i="1"/>
  <c r="BS470" i="1"/>
  <c r="BP470" i="1"/>
  <c r="BO470" i="1"/>
  <c r="BU470" i="1"/>
  <c r="BT470" i="1"/>
  <c r="BR470" i="1"/>
  <c r="BQ470" i="1"/>
  <c r="AJ470" i="1"/>
  <c r="AI470" i="1"/>
  <c r="AG470" i="1"/>
  <c r="AF470" i="1"/>
  <c r="AH470" i="1"/>
  <c r="AE470" i="1"/>
  <c r="AD470" i="1"/>
  <c r="BS465" i="1"/>
  <c r="BP465" i="1"/>
  <c r="BO465" i="1"/>
  <c r="BU465" i="1"/>
  <c r="BT465" i="1"/>
  <c r="BR465" i="1"/>
  <c r="BQ465" i="1"/>
  <c r="AJ465" i="1"/>
  <c r="AI465" i="1"/>
  <c r="AG465" i="1"/>
  <c r="AF465" i="1"/>
  <c r="AH465" i="1"/>
  <c r="AE465" i="1"/>
  <c r="AD465" i="1"/>
  <c r="BS463" i="1"/>
  <c r="BP463" i="1"/>
  <c r="BO463" i="1"/>
  <c r="BU463" i="1"/>
  <c r="BT463" i="1"/>
  <c r="BR463" i="1"/>
  <c r="BQ463" i="1"/>
  <c r="AJ463" i="1"/>
  <c r="AI463" i="1"/>
  <c r="AG463" i="1"/>
  <c r="AF463" i="1"/>
  <c r="AH463" i="1"/>
  <c r="AE463" i="1"/>
  <c r="AD463" i="1"/>
  <c r="BU458" i="1"/>
  <c r="BT458" i="1"/>
  <c r="BR458" i="1"/>
  <c r="BQ458" i="1"/>
  <c r="BS458" i="1"/>
  <c r="BP458" i="1"/>
  <c r="BO458" i="1"/>
  <c r="AJ458" i="1"/>
  <c r="AI458" i="1"/>
  <c r="AG458" i="1"/>
  <c r="AF458" i="1"/>
  <c r="AH458" i="1"/>
  <c r="AE458" i="1"/>
  <c r="AD458" i="1"/>
  <c r="BS456" i="1"/>
  <c r="BP456" i="1"/>
  <c r="BO456" i="1"/>
  <c r="BU456" i="1"/>
  <c r="BT456" i="1"/>
  <c r="BR456" i="1"/>
  <c r="BQ456" i="1"/>
  <c r="AJ456" i="1"/>
  <c r="AI456" i="1"/>
  <c r="AG456" i="1"/>
  <c r="AF456" i="1"/>
  <c r="AH456" i="1"/>
  <c r="AE456" i="1"/>
  <c r="AD456" i="1"/>
  <c r="BU451" i="1"/>
  <c r="BT451" i="1"/>
  <c r="BR451" i="1"/>
  <c r="BQ451" i="1"/>
  <c r="BS451" i="1"/>
  <c r="BP451" i="1"/>
  <c r="BO451" i="1"/>
  <c r="AJ451" i="1"/>
  <c r="AI451" i="1"/>
  <c r="AH451" i="1"/>
  <c r="AG451" i="1"/>
  <c r="AF451" i="1"/>
  <c r="AE451" i="1"/>
  <c r="AD451" i="1"/>
  <c r="BU449" i="1"/>
  <c r="BT449" i="1"/>
  <c r="BS449" i="1"/>
  <c r="BR449" i="1"/>
  <c r="BQ449" i="1"/>
  <c r="BP449" i="1"/>
  <c r="BO449" i="1"/>
  <c r="AJ449" i="1"/>
  <c r="AI449" i="1"/>
  <c r="AG449" i="1"/>
  <c r="AF449" i="1"/>
  <c r="AH449" i="1"/>
  <c r="AE449" i="1"/>
  <c r="AD449" i="1"/>
  <c r="BS444" i="1"/>
  <c r="BP444" i="1"/>
  <c r="BO444" i="1"/>
  <c r="BU444" i="1"/>
  <c r="BT444" i="1"/>
  <c r="BR444" i="1"/>
  <c r="BQ444" i="1"/>
  <c r="AJ444" i="1"/>
  <c r="AI444" i="1"/>
  <c r="AG444" i="1"/>
  <c r="AF444" i="1"/>
  <c r="AH444" i="1"/>
  <c r="AE444" i="1"/>
  <c r="AD444" i="1"/>
  <c r="B629" i="1" l="1"/>
  <c r="C628" i="1"/>
  <c r="B545" i="1"/>
  <c r="B546" i="1" s="1"/>
  <c r="B547" i="1" s="1"/>
  <c r="B548" i="1" s="1"/>
  <c r="B591" i="1"/>
  <c r="B592" i="1" s="1"/>
  <c r="B593" i="1" s="1"/>
  <c r="BU443" i="1"/>
  <c r="BT443" i="1"/>
  <c r="BR443" i="1"/>
  <c r="BQ443" i="1"/>
  <c r="AJ443" i="1"/>
  <c r="AI443" i="1"/>
  <c r="AG443" i="1"/>
  <c r="AF443" i="1"/>
  <c r="BS443" i="1"/>
  <c r="BP443" i="1"/>
  <c r="BO443" i="1"/>
  <c r="AH443" i="1"/>
  <c r="AE443" i="1"/>
  <c r="AD443" i="1"/>
  <c r="BS437" i="1"/>
  <c r="BP437" i="1"/>
  <c r="BO437" i="1"/>
  <c r="BU437" i="1"/>
  <c r="BT437" i="1"/>
  <c r="BR437" i="1"/>
  <c r="BQ437" i="1"/>
  <c r="AJ437" i="1"/>
  <c r="AI437" i="1"/>
  <c r="AG437" i="1"/>
  <c r="AF437" i="1"/>
  <c r="AH437" i="1"/>
  <c r="AE437" i="1"/>
  <c r="AD437" i="1"/>
  <c r="BS436" i="1"/>
  <c r="BP436" i="1"/>
  <c r="BO436" i="1"/>
  <c r="BU436" i="1"/>
  <c r="BT436" i="1"/>
  <c r="BR436" i="1"/>
  <c r="BQ436" i="1"/>
  <c r="AJ436" i="1"/>
  <c r="AI436" i="1"/>
  <c r="AG436" i="1"/>
  <c r="AF436" i="1"/>
  <c r="AH436" i="1"/>
  <c r="AE436" i="1"/>
  <c r="AD436" i="1"/>
  <c r="BS430" i="1"/>
  <c r="BP430" i="1"/>
  <c r="BO430" i="1"/>
  <c r="BU430" i="1"/>
  <c r="BT430" i="1"/>
  <c r="BR430" i="1"/>
  <c r="BQ430" i="1"/>
  <c r="AJ430" i="1"/>
  <c r="AI430" i="1"/>
  <c r="AG430" i="1"/>
  <c r="AF430" i="1"/>
  <c r="AH430" i="1"/>
  <c r="AE430" i="1"/>
  <c r="AD430" i="1"/>
  <c r="C629" i="1" l="1"/>
  <c r="B630" i="1"/>
  <c r="B595" i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594" i="1"/>
  <c r="B596" i="1" s="1"/>
  <c r="BU428" i="1"/>
  <c r="BT428" i="1"/>
  <c r="BR428" i="1"/>
  <c r="BQ428" i="1"/>
  <c r="BS428" i="1"/>
  <c r="BP428" i="1"/>
  <c r="BO428" i="1"/>
  <c r="AJ428" i="1"/>
  <c r="AI428" i="1"/>
  <c r="AG428" i="1"/>
  <c r="AF428" i="1"/>
  <c r="AH428" i="1"/>
  <c r="AE428" i="1"/>
  <c r="AD428" i="1"/>
  <c r="B631" i="1" l="1"/>
  <c r="C630" i="1"/>
  <c r="BU422" i="1"/>
  <c r="BT422" i="1"/>
  <c r="BR422" i="1"/>
  <c r="BQ422" i="1"/>
  <c r="BS422" i="1"/>
  <c r="BP422" i="1"/>
  <c r="BO422" i="1"/>
  <c r="AJ422" i="1"/>
  <c r="AI422" i="1"/>
  <c r="AG422" i="1"/>
  <c r="AF422" i="1"/>
  <c r="AH422" i="1"/>
  <c r="AE422" i="1"/>
  <c r="AD422" i="1"/>
  <c r="CH418" i="1"/>
  <c r="BU416" i="1"/>
  <c r="BT416" i="1"/>
  <c r="BR416" i="1"/>
  <c r="BQ416" i="1"/>
  <c r="BS416" i="1"/>
  <c r="BP416" i="1"/>
  <c r="BO416" i="1"/>
  <c r="AW418" i="1"/>
  <c r="BO414" i="1"/>
  <c r="BR414" i="1"/>
  <c r="BS414" i="1"/>
  <c r="BT414" i="1"/>
  <c r="BU414" i="1"/>
  <c r="BQ414" i="1"/>
  <c r="BP414" i="1"/>
  <c r="AJ416" i="1"/>
  <c r="AI416" i="1"/>
  <c r="AG416" i="1"/>
  <c r="AF416" i="1"/>
  <c r="AH416" i="1"/>
  <c r="AE416" i="1"/>
  <c r="AD416" i="1"/>
  <c r="C631" i="1" l="1"/>
  <c r="B632" i="1"/>
  <c r="AJ414" i="1"/>
  <c r="AI414" i="1"/>
  <c r="AG414" i="1"/>
  <c r="AF414" i="1"/>
  <c r="AH414" i="1"/>
  <c r="AE414" i="1"/>
  <c r="AD414" i="1"/>
  <c r="BS409" i="1"/>
  <c r="BP409" i="1"/>
  <c r="BO409" i="1"/>
  <c r="BU409" i="1"/>
  <c r="BT409" i="1"/>
  <c r="BR409" i="1"/>
  <c r="BQ409" i="1"/>
  <c r="AJ409" i="1"/>
  <c r="AI409" i="1"/>
  <c r="AH409" i="1"/>
  <c r="AG409" i="1"/>
  <c r="AF409" i="1"/>
  <c r="AE409" i="1"/>
  <c r="AD409" i="1"/>
  <c r="BS407" i="1"/>
  <c r="BP407" i="1"/>
  <c r="BO407" i="1"/>
  <c r="BU407" i="1"/>
  <c r="BT407" i="1"/>
  <c r="BR407" i="1"/>
  <c r="BQ407" i="1"/>
  <c r="AJ407" i="1"/>
  <c r="AI407" i="1"/>
  <c r="AG407" i="1"/>
  <c r="AF407" i="1"/>
  <c r="AH407" i="1"/>
  <c r="AE407" i="1"/>
  <c r="AD407" i="1"/>
  <c r="AD402" i="1"/>
  <c r="BS402" i="1"/>
  <c r="BP402" i="1"/>
  <c r="BO402" i="1"/>
  <c r="BU402" i="1"/>
  <c r="BT402" i="1"/>
  <c r="BR402" i="1"/>
  <c r="BQ402" i="1"/>
  <c r="AJ402" i="1"/>
  <c r="AI402" i="1"/>
  <c r="AG402" i="1"/>
  <c r="AF402" i="1"/>
  <c r="AH402" i="1"/>
  <c r="AE402" i="1"/>
  <c r="BS400" i="1"/>
  <c r="BP400" i="1"/>
  <c r="BO400" i="1"/>
  <c r="BU400" i="1"/>
  <c r="BT400" i="1"/>
  <c r="BR400" i="1"/>
  <c r="BQ400" i="1"/>
  <c r="AJ400" i="1"/>
  <c r="AI400" i="1"/>
  <c r="AG400" i="1"/>
  <c r="AF400" i="1"/>
  <c r="AH400" i="1"/>
  <c r="AE400" i="1"/>
  <c r="AD400" i="1"/>
  <c r="AJ395" i="1"/>
  <c r="AI395" i="1"/>
  <c r="AG395" i="1"/>
  <c r="AF395" i="1"/>
  <c r="AH395" i="1"/>
  <c r="AE395" i="1"/>
  <c r="AD395" i="1"/>
  <c r="BS395" i="1"/>
  <c r="BP395" i="1"/>
  <c r="BO395" i="1"/>
  <c r="BU395" i="1"/>
  <c r="BT395" i="1"/>
  <c r="BR395" i="1"/>
  <c r="BQ395" i="1"/>
  <c r="BS393" i="1"/>
  <c r="BP393" i="1"/>
  <c r="BO393" i="1"/>
  <c r="BU393" i="1"/>
  <c r="BT393" i="1"/>
  <c r="BR393" i="1"/>
  <c r="BQ393" i="1"/>
  <c r="AJ393" i="1"/>
  <c r="AI393" i="1"/>
  <c r="AG393" i="1"/>
  <c r="AF393" i="1"/>
  <c r="AH393" i="1"/>
  <c r="AE393" i="1"/>
  <c r="AD393" i="1"/>
  <c r="B633" i="1" l="1"/>
  <c r="C632" i="1"/>
  <c r="BU388" i="1"/>
  <c r="BT388" i="1"/>
  <c r="BR388" i="1"/>
  <c r="BQ388" i="1"/>
  <c r="BO388" i="1"/>
  <c r="BP388" i="1"/>
  <c r="BS388" i="1"/>
  <c r="AJ388" i="1"/>
  <c r="AI388" i="1"/>
  <c r="AG388" i="1"/>
  <c r="AF388" i="1"/>
  <c r="AH388" i="1"/>
  <c r="AE388" i="1"/>
  <c r="AD388" i="1"/>
  <c r="BU387" i="1"/>
  <c r="BT387" i="1"/>
  <c r="BR387" i="1"/>
  <c r="BQ387" i="1"/>
  <c r="BS387" i="1"/>
  <c r="BP387" i="1"/>
  <c r="BO387" i="1"/>
  <c r="AJ387" i="1"/>
  <c r="AI387" i="1"/>
  <c r="AG387" i="1"/>
  <c r="AF387" i="1"/>
  <c r="AH387" i="1"/>
  <c r="AE387" i="1"/>
  <c r="AD387" i="1"/>
  <c r="BS386" i="1"/>
  <c r="BP386" i="1"/>
  <c r="BO386" i="1"/>
  <c r="BU386" i="1"/>
  <c r="BT386" i="1"/>
  <c r="BR386" i="1"/>
  <c r="BQ386" i="1"/>
  <c r="AJ386" i="1"/>
  <c r="AI386" i="1"/>
  <c r="AG386" i="1"/>
  <c r="AF386" i="1"/>
  <c r="AH386" i="1"/>
  <c r="AE386" i="1"/>
  <c r="AD386" i="1"/>
  <c r="BS379" i="1"/>
  <c r="BP379" i="1"/>
  <c r="BO379" i="1"/>
  <c r="BU379" i="1"/>
  <c r="BT379" i="1"/>
  <c r="BR379" i="1"/>
  <c r="BQ379" i="1"/>
  <c r="AJ379" i="1"/>
  <c r="AI379" i="1"/>
  <c r="AG379" i="1"/>
  <c r="AF379" i="1"/>
  <c r="AH379" i="1"/>
  <c r="AE379" i="1"/>
  <c r="AD379" i="1"/>
  <c r="BU375" i="1"/>
  <c r="BT375" i="1"/>
  <c r="BR375" i="1"/>
  <c r="BQ375" i="1"/>
  <c r="BS375" i="1"/>
  <c r="BP375" i="1"/>
  <c r="BO375" i="1"/>
  <c r="BS374" i="1"/>
  <c r="BP374" i="1"/>
  <c r="BO374" i="1"/>
  <c r="AJ375" i="1"/>
  <c r="AI375" i="1"/>
  <c r="AG375" i="1"/>
  <c r="AF375" i="1"/>
  <c r="AH375" i="1"/>
  <c r="AE375" i="1"/>
  <c r="AD375" i="1"/>
  <c r="BU374" i="1"/>
  <c r="BT374" i="1"/>
  <c r="BR374" i="1"/>
  <c r="BQ374" i="1"/>
  <c r="AJ374" i="1"/>
  <c r="AI374" i="1"/>
  <c r="AG374" i="1"/>
  <c r="AF374" i="1"/>
  <c r="AH374" i="1"/>
  <c r="AE374" i="1"/>
  <c r="AD374" i="1"/>
  <c r="BS372" i="1"/>
  <c r="BP372" i="1"/>
  <c r="BO372" i="1"/>
  <c r="BU372" i="1"/>
  <c r="BT372" i="1"/>
  <c r="BR372" i="1"/>
  <c r="BQ372" i="1"/>
  <c r="AJ372" i="1"/>
  <c r="AI372" i="1"/>
  <c r="AG372" i="1"/>
  <c r="AF372" i="1"/>
  <c r="AH372" i="1"/>
  <c r="AF364" i="1"/>
  <c r="AE372" i="1"/>
  <c r="AD372" i="1"/>
  <c r="AH364" i="1"/>
  <c r="AE364" i="1"/>
  <c r="AD364" i="1"/>
  <c r="AI364" i="1"/>
  <c r="AJ364" i="1"/>
  <c r="AG364" i="1"/>
  <c r="BU364" i="1"/>
  <c r="BT364" i="1"/>
  <c r="BR364" i="1"/>
  <c r="BQ364" i="1"/>
  <c r="BS364" i="1"/>
  <c r="BP364" i="1"/>
  <c r="BO364" i="1"/>
  <c r="BS360" i="1"/>
  <c r="BP360" i="1"/>
  <c r="BO360" i="1"/>
  <c r="BU360" i="1"/>
  <c r="BT360" i="1"/>
  <c r="BR360" i="1"/>
  <c r="BQ360" i="1"/>
  <c r="AJ360" i="1"/>
  <c r="AI360" i="1"/>
  <c r="AG360" i="1"/>
  <c r="AF360" i="1"/>
  <c r="AH360" i="1"/>
  <c r="AE360" i="1"/>
  <c r="AD360" i="1"/>
  <c r="AH358" i="1"/>
  <c r="AE358" i="1"/>
  <c r="AD358" i="1"/>
  <c r="AJ358" i="1"/>
  <c r="AI358" i="1"/>
  <c r="AG358" i="1"/>
  <c r="AF358" i="1"/>
  <c r="BU358" i="1"/>
  <c r="BT358" i="1"/>
  <c r="BR358" i="1"/>
  <c r="BQ358" i="1"/>
  <c r="BS358" i="1"/>
  <c r="BP358" i="1"/>
  <c r="BO358" i="1"/>
  <c r="BU353" i="1"/>
  <c r="BT353" i="1"/>
  <c r="BR353" i="1"/>
  <c r="BQ353" i="1"/>
  <c r="AJ353" i="1"/>
  <c r="AI353" i="1"/>
  <c r="AG353" i="1"/>
  <c r="AF353" i="1"/>
  <c r="AJ351" i="1"/>
  <c r="AI351" i="1"/>
  <c r="AG351" i="1"/>
  <c r="AF351" i="1"/>
  <c r="BU351" i="1"/>
  <c r="BT351" i="1"/>
  <c r="BR351" i="1"/>
  <c r="BQ351" i="1"/>
  <c r="BU345" i="1"/>
  <c r="BT345" i="1"/>
  <c r="BR345" i="1"/>
  <c r="BQ345" i="1"/>
  <c r="AJ345" i="1"/>
  <c r="AI345" i="1"/>
  <c r="AG345" i="1"/>
  <c r="AF345" i="1"/>
  <c r="AE345" i="1"/>
  <c r="AD345" i="1"/>
  <c r="C633" i="1" l="1"/>
  <c r="B634" i="1"/>
  <c r="BS353" i="1"/>
  <c r="BP353" i="1"/>
  <c r="BO353" i="1"/>
  <c r="BP351" i="1"/>
  <c r="BS351" i="1"/>
  <c r="BS345" i="1"/>
  <c r="BP345" i="1"/>
  <c r="BO345" i="1"/>
  <c r="AH353" i="1"/>
  <c r="AH351" i="1"/>
  <c r="AH345" i="1"/>
  <c r="AD351" i="1"/>
  <c r="BO351" i="1"/>
  <c r="AE351" i="1"/>
  <c r="BP344" i="1"/>
  <c r="AE353" i="1"/>
  <c r="AE344" i="1"/>
  <c r="AD353" i="1"/>
  <c r="B635" i="1" l="1"/>
  <c r="C634" i="1"/>
  <c r="BU344" i="1"/>
  <c r="BT344" i="1"/>
  <c r="BR344" i="1"/>
  <c r="BQ344" i="1"/>
  <c r="BS344" i="1"/>
  <c r="BO344" i="1"/>
  <c r="AJ344" i="1"/>
  <c r="AI344" i="1"/>
  <c r="AG344" i="1"/>
  <c r="AF344" i="1"/>
  <c r="AH344" i="1"/>
  <c r="AD344" i="1"/>
  <c r="BS339" i="1"/>
  <c r="BP339" i="1"/>
  <c r="BO339" i="1"/>
  <c r="BU339" i="1"/>
  <c r="BT339" i="1"/>
  <c r="BR339" i="1"/>
  <c r="BQ339" i="1"/>
  <c r="AJ339" i="1"/>
  <c r="AI339" i="1"/>
  <c r="AG339" i="1"/>
  <c r="AF339" i="1"/>
  <c r="AH339" i="1"/>
  <c r="AE339" i="1"/>
  <c r="AD339" i="1"/>
  <c r="BU337" i="1"/>
  <c r="BT337" i="1"/>
  <c r="BR337" i="1"/>
  <c r="BQ337" i="1"/>
  <c r="BS337" i="1"/>
  <c r="BP337" i="1"/>
  <c r="BO337" i="1"/>
  <c r="AJ337" i="1"/>
  <c r="AI337" i="1"/>
  <c r="AG337" i="1"/>
  <c r="AF337" i="1"/>
  <c r="AH337" i="1"/>
  <c r="AE337" i="1"/>
  <c r="AD337" i="1"/>
  <c r="BU332" i="1"/>
  <c r="BT332" i="1"/>
  <c r="BR332" i="1"/>
  <c r="BQ332" i="1"/>
  <c r="BS332" i="1"/>
  <c r="BP332" i="1"/>
  <c r="BO332" i="1"/>
  <c r="AJ332" i="1"/>
  <c r="AI332" i="1"/>
  <c r="AG332" i="1"/>
  <c r="AF332" i="1"/>
  <c r="AH332" i="1"/>
  <c r="AE332" i="1"/>
  <c r="AD332" i="1"/>
  <c r="BS329" i="1"/>
  <c r="BP329" i="1"/>
  <c r="BO329" i="1"/>
  <c r="BU329" i="1"/>
  <c r="BT329" i="1"/>
  <c r="BR329" i="1"/>
  <c r="BQ329" i="1"/>
  <c r="AJ329" i="1"/>
  <c r="AI329" i="1"/>
  <c r="AG329" i="1"/>
  <c r="AF329" i="1"/>
  <c r="AH329" i="1"/>
  <c r="AE329" i="1"/>
  <c r="AD329" i="1"/>
  <c r="BS325" i="1"/>
  <c r="BP325" i="1"/>
  <c r="BO325" i="1"/>
  <c r="BU325" i="1"/>
  <c r="BT325" i="1"/>
  <c r="BR325" i="1"/>
  <c r="BQ325" i="1"/>
  <c r="AJ325" i="1"/>
  <c r="AI325" i="1"/>
  <c r="AG325" i="1"/>
  <c r="AF325" i="1"/>
  <c r="AH325" i="1"/>
  <c r="AE325" i="1"/>
  <c r="AD325" i="1"/>
  <c r="BS322" i="1"/>
  <c r="BP322" i="1"/>
  <c r="BO322" i="1"/>
  <c r="BU322" i="1"/>
  <c r="BT322" i="1"/>
  <c r="BR322" i="1"/>
  <c r="BQ322" i="1"/>
  <c r="AJ322" i="1"/>
  <c r="AI322" i="1"/>
  <c r="AG322" i="1"/>
  <c r="AF322" i="1"/>
  <c r="AH322" i="1"/>
  <c r="AE322" i="1"/>
  <c r="AD322" i="1"/>
  <c r="BS318" i="1"/>
  <c r="BP318" i="1"/>
  <c r="BO318" i="1"/>
  <c r="BU318" i="1"/>
  <c r="BT318" i="1"/>
  <c r="BR318" i="1"/>
  <c r="BQ318" i="1"/>
  <c r="AJ318" i="1"/>
  <c r="AI318" i="1"/>
  <c r="AG318" i="1"/>
  <c r="AF318" i="1"/>
  <c r="AH318" i="1"/>
  <c r="AE318" i="1"/>
  <c r="AD318" i="1"/>
  <c r="BS317" i="1"/>
  <c r="BP317" i="1"/>
  <c r="BO317" i="1"/>
  <c r="BU317" i="1"/>
  <c r="BT317" i="1"/>
  <c r="BR317" i="1"/>
  <c r="BQ317" i="1"/>
  <c r="AJ317" i="1"/>
  <c r="AI317" i="1"/>
  <c r="AG317" i="1"/>
  <c r="AF317" i="1"/>
  <c r="AH317" i="1"/>
  <c r="AE317" i="1"/>
  <c r="AD317" i="1"/>
  <c r="BU315" i="1"/>
  <c r="BT315" i="1"/>
  <c r="BR315" i="1"/>
  <c r="BQ315" i="1"/>
  <c r="BS315" i="1"/>
  <c r="BP315" i="1"/>
  <c r="BO315" i="1"/>
  <c r="AJ315" i="1"/>
  <c r="AI315" i="1"/>
  <c r="AG315" i="1"/>
  <c r="AF315" i="1"/>
  <c r="AH315" i="1"/>
  <c r="AE315" i="1"/>
  <c r="AD315" i="1"/>
  <c r="BS311" i="1"/>
  <c r="BP311" i="1"/>
  <c r="BO311" i="1"/>
  <c r="BU311" i="1"/>
  <c r="BT311" i="1"/>
  <c r="BR311" i="1"/>
  <c r="BQ311" i="1"/>
  <c r="AJ311" i="1"/>
  <c r="AI311" i="1"/>
  <c r="AG311" i="1"/>
  <c r="AF311" i="1"/>
  <c r="AH311" i="1"/>
  <c r="AE311" i="1"/>
  <c r="AD311" i="1"/>
  <c r="BU308" i="1"/>
  <c r="BT308" i="1"/>
  <c r="BR308" i="1"/>
  <c r="BQ308" i="1"/>
  <c r="BS308" i="1"/>
  <c r="BP308" i="1"/>
  <c r="BO308" i="1"/>
  <c r="AJ308" i="1"/>
  <c r="AI308" i="1"/>
  <c r="AG308" i="1"/>
  <c r="AF308" i="1"/>
  <c r="AH308" i="1"/>
  <c r="AE308" i="1"/>
  <c r="AD308" i="1"/>
  <c r="AJ304" i="1"/>
  <c r="AI304" i="1"/>
  <c r="AG304" i="1"/>
  <c r="AF304" i="1"/>
  <c r="AH304" i="1"/>
  <c r="AE304" i="1"/>
  <c r="AD304" i="1"/>
  <c r="BU304" i="1"/>
  <c r="BT304" i="1"/>
  <c r="BR304" i="1"/>
  <c r="BQ304" i="1"/>
  <c r="BS304" i="1"/>
  <c r="BP304" i="1"/>
  <c r="BO304" i="1"/>
  <c r="BU296" i="1"/>
  <c r="BT296" i="1"/>
  <c r="BR296" i="1"/>
  <c r="BQ296" i="1"/>
  <c r="BS296" i="1"/>
  <c r="BP296" i="1"/>
  <c r="BO296" i="1"/>
  <c r="AJ296" i="1"/>
  <c r="AI296" i="1"/>
  <c r="AG296" i="1"/>
  <c r="AF296" i="1"/>
  <c r="AH296" i="1"/>
  <c r="AE296" i="1"/>
  <c r="AD296" i="1"/>
  <c r="AF289" i="1"/>
  <c r="BU290" i="1"/>
  <c r="BT290" i="1"/>
  <c r="BS290" i="1"/>
  <c r="BR290" i="1"/>
  <c r="BQ290" i="1"/>
  <c r="BP290" i="1"/>
  <c r="BO290" i="1"/>
  <c r="AJ290" i="1"/>
  <c r="AI290" i="1"/>
  <c r="AH290" i="1"/>
  <c r="AG290" i="1"/>
  <c r="AF290" i="1"/>
  <c r="AE290" i="1"/>
  <c r="AD290" i="1"/>
  <c r="BU289" i="1"/>
  <c r="BT289" i="1"/>
  <c r="BR289" i="1"/>
  <c r="BQ289" i="1"/>
  <c r="AG289" i="1"/>
  <c r="AI289" i="1"/>
  <c r="AJ289" i="1"/>
  <c r="AD282" i="1"/>
  <c r="AE282" i="1"/>
  <c r="AF282" i="1"/>
  <c r="AG282" i="1"/>
  <c r="AH282" i="1"/>
  <c r="AI282" i="1"/>
  <c r="AJ282" i="1"/>
  <c r="AF283" i="1"/>
  <c r="BP289" i="1"/>
  <c r="BO289" i="1"/>
  <c r="BS289" i="1"/>
  <c r="AH289" i="1"/>
  <c r="AE289" i="1"/>
  <c r="AD289" i="1"/>
  <c r="BU283" i="1"/>
  <c r="BT283" i="1"/>
  <c r="BS283" i="1"/>
  <c r="BR283" i="1"/>
  <c r="BQ283" i="1"/>
  <c r="BP283" i="1"/>
  <c r="BO283" i="1"/>
  <c r="AJ283" i="1"/>
  <c r="AI283" i="1"/>
  <c r="AH283" i="1"/>
  <c r="AG283" i="1"/>
  <c r="AE283" i="1"/>
  <c r="AD283" i="1"/>
  <c r="C635" i="1" l="1"/>
  <c r="B636" i="1"/>
  <c r="BP274" i="1"/>
  <c r="BU282" i="1"/>
  <c r="BT282" i="1"/>
  <c r="BR282" i="1"/>
  <c r="BQ282" i="1"/>
  <c r="BU274" i="1"/>
  <c r="BT274" i="1"/>
  <c r="BR274" i="1"/>
  <c r="BQ274" i="1"/>
  <c r="AJ274" i="1"/>
  <c r="AI274" i="1"/>
  <c r="AG274" i="1"/>
  <c r="AF274" i="1"/>
  <c r="AJ262" i="1"/>
  <c r="AI262" i="1"/>
  <c r="AG262" i="1"/>
  <c r="AF262" i="1"/>
  <c r="BU262" i="1"/>
  <c r="BT262" i="1"/>
  <c r="BR262" i="1"/>
  <c r="BQ262" i="1"/>
  <c r="BS282" i="1"/>
  <c r="BP282" i="1"/>
  <c r="BO282" i="1"/>
  <c r="AD274" i="1"/>
  <c r="AE274" i="1"/>
  <c r="AH274" i="1"/>
  <c r="BS274" i="1"/>
  <c r="BO274" i="1"/>
  <c r="BS262" i="1"/>
  <c r="BP262" i="1"/>
  <c r="BO262" i="1"/>
  <c r="AH262" i="1"/>
  <c r="AF261" i="1"/>
  <c r="AE262" i="1"/>
  <c r="AD262" i="1"/>
  <c r="BU261" i="1"/>
  <c r="BT261" i="1"/>
  <c r="BR261" i="1"/>
  <c r="BQ261" i="1"/>
  <c r="BU255" i="1"/>
  <c r="BT255" i="1"/>
  <c r="BR255" i="1"/>
  <c r="BQ255" i="1"/>
  <c r="BS261" i="1"/>
  <c r="BS255" i="1"/>
  <c r="BP261" i="1"/>
  <c r="BO261" i="1"/>
  <c r="BP255" i="1"/>
  <c r="BO255" i="1"/>
  <c r="AJ261" i="1"/>
  <c r="AJ255" i="1"/>
  <c r="AI261" i="1"/>
  <c r="AH261" i="1"/>
  <c r="AG261" i="1"/>
  <c r="AE261" i="1"/>
  <c r="AD261" i="1"/>
  <c r="AI255" i="1"/>
  <c r="AH255" i="1"/>
  <c r="AJ246" i="1"/>
  <c r="AG255" i="1"/>
  <c r="AG246" i="1"/>
  <c r="AF255" i="1"/>
  <c r="AE255" i="1"/>
  <c r="AD255" i="1"/>
  <c r="B637" i="1" l="1"/>
  <c r="C636" i="1"/>
  <c r="BT246" i="1"/>
  <c r="BU246" i="1"/>
  <c r="BQ238" i="1"/>
  <c r="BR238" i="1"/>
  <c r="BU238" i="1"/>
  <c r="BT238" i="1"/>
  <c r="BS246" i="1"/>
  <c r="BR246" i="1"/>
  <c r="BQ246" i="1"/>
  <c r="BP246" i="1"/>
  <c r="BO246" i="1"/>
  <c r="BS238" i="1"/>
  <c r="BP238" i="1"/>
  <c r="BO238" i="1"/>
  <c r="BS234" i="1"/>
  <c r="BP234" i="1"/>
  <c r="BO234" i="1"/>
  <c r="BU234" i="1"/>
  <c r="BT234" i="1"/>
  <c r="BR234" i="1"/>
  <c r="BQ234" i="1"/>
  <c r="AI238" i="1"/>
  <c r="AI246" i="1"/>
  <c r="AH246" i="1"/>
  <c r="AF246" i="1"/>
  <c r="AE246" i="1"/>
  <c r="AD246" i="1"/>
  <c r="AF238" i="1"/>
  <c r="AG238" i="1"/>
  <c r="AH238" i="1"/>
  <c r="AJ238" i="1"/>
  <c r="AJ234" i="1"/>
  <c r="AI234" i="1"/>
  <c r="AH234" i="1"/>
  <c r="AG234" i="1"/>
  <c r="AD238" i="1"/>
  <c r="AE238" i="1"/>
  <c r="AF234" i="1"/>
  <c r="AE234" i="1"/>
  <c r="AD234" i="1"/>
  <c r="P246" i="1"/>
  <c r="P244" i="1"/>
  <c r="P242" i="1"/>
  <c r="P240" i="1"/>
  <c r="P238" i="1"/>
  <c r="P236" i="1"/>
  <c r="P234" i="1"/>
  <c r="B234" i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AD43" i="1"/>
  <c r="AD46" i="1"/>
  <c r="AD50" i="1"/>
  <c r="AD51" i="1"/>
  <c r="AD56" i="1"/>
  <c r="AD57" i="1"/>
  <c r="AD63" i="1"/>
  <c r="AD67" i="1"/>
  <c r="AD70" i="1"/>
  <c r="AD71" i="1"/>
  <c r="AD78" i="1"/>
  <c r="AD81" i="1"/>
  <c r="AD85" i="1"/>
  <c r="AD86" i="1"/>
  <c r="AD92" i="1"/>
  <c r="AD93" i="1"/>
  <c r="AD99" i="1"/>
  <c r="AD101" i="1"/>
  <c r="AD106" i="1"/>
  <c r="AD116" i="1"/>
  <c r="AD123" i="1"/>
  <c r="AD127" i="1"/>
  <c r="AD135" i="1"/>
  <c r="AD150" i="1"/>
  <c r="AD151" i="1"/>
  <c r="AD156" i="1"/>
  <c r="AD162" i="1"/>
  <c r="AD164" i="1"/>
  <c r="AD169" i="1"/>
  <c r="AD170" i="1"/>
  <c r="AD177" i="1"/>
  <c r="AD178" i="1"/>
  <c r="AD183" i="1"/>
  <c r="AD185" i="1"/>
  <c r="AD190" i="1"/>
  <c r="AD192" i="1"/>
  <c r="AD197" i="1"/>
  <c r="AD199" i="1"/>
  <c r="AD204" i="1"/>
  <c r="AD206" i="1"/>
  <c r="AD212" i="1"/>
  <c r="AD213" i="1"/>
  <c r="AD219" i="1"/>
  <c r="AD225" i="1"/>
  <c r="AD227" i="1"/>
  <c r="AD232" i="1"/>
  <c r="BO232" i="1"/>
  <c r="BU232" i="1"/>
  <c r="BT232" i="1"/>
  <c r="BS232" i="1"/>
  <c r="BR232" i="1"/>
  <c r="BQ232" i="1"/>
  <c r="BP232" i="1"/>
  <c r="AJ213" i="1"/>
  <c r="AJ219" i="1"/>
  <c r="AJ225" i="1"/>
  <c r="AJ227" i="1"/>
  <c r="AJ232" i="1"/>
  <c r="AI232" i="1"/>
  <c r="AH232" i="1"/>
  <c r="AG232" i="1"/>
  <c r="AF232" i="1"/>
  <c r="AE232" i="1"/>
  <c r="AI227" i="1"/>
  <c r="AH227" i="1"/>
  <c r="AG227" i="1"/>
  <c r="AF227" i="1"/>
  <c r="AE227" i="1"/>
  <c r="BU227" i="1"/>
  <c r="BT227" i="1"/>
  <c r="BS227" i="1"/>
  <c r="BR227" i="1"/>
  <c r="BQ227" i="1"/>
  <c r="BP227" i="1"/>
  <c r="BO227" i="1"/>
  <c r="P229" i="1"/>
  <c r="P231" i="1"/>
  <c r="P227" i="1"/>
  <c r="P225" i="1"/>
  <c r="AI225" i="1"/>
  <c r="AH225" i="1"/>
  <c r="AG225" i="1"/>
  <c r="AF225" i="1"/>
  <c r="AE225" i="1"/>
  <c r="AI219" i="1"/>
  <c r="AG219" i="1"/>
  <c r="AF219" i="1"/>
  <c r="AH219" i="1"/>
  <c r="AE219" i="1"/>
  <c r="BU225" i="1"/>
  <c r="BT225" i="1"/>
  <c r="BS225" i="1"/>
  <c r="BR225" i="1"/>
  <c r="BQ225" i="1"/>
  <c r="BP225" i="1"/>
  <c r="BO225" i="1"/>
  <c r="BU219" i="1"/>
  <c r="BT219" i="1"/>
  <c r="BR219" i="1"/>
  <c r="BQ219" i="1"/>
  <c r="BS219" i="1"/>
  <c r="BP219" i="1"/>
  <c r="BO219" i="1"/>
  <c r="BU213" i="1"/>
  <c r="BT213" i="1"/>
  <c r="BS213" i="1"/>
  <c r="BR213" i="1"/>
  <c r="BQ213" i="1"/>
  <c r="BP213" i="1"/>
  <c r="BO213" i="1"/>
  <c r="AI213" i="1"/>
  <c r="AH213" i="1"/>
  <c r="AG213" i="1"/>
  <c r="AF213" i="1"/>
  <c r="AE213" i="1"/>
  <c r="AJ212" i="1"/>
  <c r="AI212" i="1"/>
  <c r="AH212" i="1"/>
  <c r="AG212" i="1"/>
  <c r="AF212" i="1"/>
  <c r="AE212" i="1"/>
  <c r="B214" i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P220" i="1"/>
  <c r="P224" i="1"/>
  <c r="P222" i="1"/>
  <c r="P218" i="1"/>
  <c r="P215" i="1"/>
  <c r="P213" i="1"/>
  <c r="BU212" i="1"/>
  <c r="BT212" i="1"/>
  <c r="BR212" i="1"/>
  <c r="BS212" i="1"/>
  <c r="BQ212" i="1"/>
  <c r="BP212" i="1"/>
  <c r="BO212" i="1"/>
  <c r="BU206" i="1"/>
  <c r="BT206" i="1"/>
  <c r="BR206" i="1"/>
  <c r="BR204" i="1"/>
  <c r="BS206" i="1"/>
  <c r="BQ206" i="1"/>
  <c r="BQ204" i="1"/>
  <c r="BP206" i="1"/>
  <c r="BO206" i="1"/>
  <c r="AJ206" i="1"/>
  <c r="AI206" i="1"/>
  <c r="AG206" i="1"/>
  <c r="AG204" i="1"/>
  <c r="AH206" i="1"/>
  <c r="AF206" i="1"/>
  <c r="AF204" i="1"/>
  <c r="AE206" i="1"/>
  <c r="BU204" i="1"/>
  <c r="BT204" i="1"/>
  <c r="BR199" i="1"/>
  <c r="BQ199" i="1"/>
  <c r="BP204" i="1"/>
  <c r="BO204" i="1"/>
  <c r="BS204" i="1"/>
  <c r="AJ204" i="1"/>
  <c r="AI204" i="1"/>
  <c r="AH204" i="1"/>
  <c r="AG199" i="1"/>
  <c r="AF199" i="1"/>
  <c r="AE204" i="1"/>
  <c r="P206" i="1"/>
  <c r="P211" i="1"/>
  <c r="P209" i="1"/>
  <c r="P207" i="1"/>
  <c r="B206" i="1"/>
  <c r="B207" i="1" s="1"/>
  <c r="B208" i="1" s="1"/>
  <c r="B209" i="1" s="1"/>
  <c r="B210" i="1" s="1"/>
  <c r="P204" i="1"/>
  <c r="P202" i="1"/>
  <c r="B201" i="1"/>
  <c r="B202" i="1" s="1"/>
  <c r="B203" i="1" s="1"/>
  <c r="BT199" i="1"/>
  <c r="BQ197" i="1"/>
  <c r="BU199" i="1"/>
  <c r="BU197" i="1"/>
  <c r="BT197" i="1"/>
  <c r="BR197" i="1"/>
  <c r="BR192" i="1"/>
  <c r="BQ192" i="1"/>
  <c r="BS197" i="1"/>
  <c r="BP197" i="1"/>
  <c r="BO197" i="1"/>
  <c r="BS199" i="1"/>
  <c r="BP199" i="1"/>
  <c r="BO199" i="1"/>
  <c r="AJ199" i="1"/>
  <c r="AI199" i="1"/>
  <c r="AG197" i="1"/>
  <c r="AF197" i="1"/>
  <c r="AH199" i="1"/>
  <c r="AE199" i="1"/>
  <c r="AJ197" i="1"/>
  <c r="AI197" i="1"/>
  <c r="AG192" i="1"/>
  <c r="AH197" i="1"/>
  <c r="AF192" i="1"/>
  <c r="AE197" i="1"/>
  <c r="B199" i="1"/>
  <c r="P200" i="1"/>
  <c r="P199" i="1"/>
  <c r="P197" i="1"/>
  <c r="BU192" i="1"/>
  <c r="BT192" i="1"/>
  <c r="BR190" i="1"/>
  <c r="BU190" i="1"/>
  <c r="BT190" i="1"/>
  <c r="BQ190" i="1"/>
  <c r="BP192" i="1"/>
  <c r="BO192" i="1"/>
  <c r="BS192" i="1"/>
  <c r="AJ192" i="1"/>
  <c r="AI192" i="1"/>
  <c r="AJ190" i="1"/>
  <c r="AI190" i="1"/>
  <c r="AG190" i="1"/>
  <c r="AF190" i="1"/>
  <c r="AH192" i="1"/>
  <c r="AE192" i="1"/>
  <c r="B192" i="1"/>
  <c r="B193" i="1" s="1"/>
  <c r="B194" i="1" s="1"/>
  <c r="B195" i="1" s="1"/>
  <c r="AJ185" i="1"/>
  <c r="AI185" i="1"/>
  <c r="AG185" i="1"/>
  <c r="AG183" i="1"/>
  <c r="AH185" i="1"/>
  <c r="AF185" i="1"/>
  <c r="AF183" i="1"/>
  <c r="AE185" i="1"/>
  <c r="BU185" i="1"/>
  <c r="BT185" i="1"/>
  <c r="BR185" i="1"/>
  <c r="BR183" i="1"/>
  <c r="BS185" i="1"/>
  <c r="BQ185" i="1"/>
  <c r="BQ183" i="1"/>
  <c r="BP185" i="1"/>
  <c r="BO185" i="1"/>
  <c r="BS190" i="1"/>
  <c r="BP190" i="1"/>
  <c r="BO190" i="1"/>
  <c r="AH190" i="1"/>
  <c r="AE190" i="1"/>
  <c r="AE183" i="1"/>
  <c r="AH183" i="1"/>
  <c r="AI183" i="1"/>
  <c r="AJ183" i="1"/>
  <c r="B185" i="1"/>
  <c r="B186" i="1" s="1"/>
  <c r="B187" i="1" s="1"/>
  <c r="B188" i="1" s="1"/>
  <c r="B189" i="1" s="1"/>
  <c r="BU183" i="1"/>
  <c r="BS183" i="1"/>
  <c r="BO183" i="1"/>
  <c r="BR178" i="1"/>
  <c r="BT178" i="1"/>
  <c r="BU178" i="1"/>
  <c r="AJ178" i="1"/>
  <c r="BS178" i="1"/>
  <c r="BQ178" i="1"/>
  <c r="BP178" i="1"/>
  <c r="BO178" i="1"/>
  <c r="AF178" i="1"/>
  <c r="BQ177" i="1"/>
  <c r="AF177" i="1"/>
  <c r="BR177" i="1"/>
  <c r="BT177" i="1"/>
  <c r="BU177" i="1"/>
  <c r="AJ177" i="1"/>
  <c r="AJ170" i="1"/>
  <c r="AG177" i="1"/>
  <c r="BS177" i="1"/>
  <c r="BP177" i="1"/>
  <c r="BO177" i="1"/>
  <c r="BR170" i="1"/>
  <c r="BU170" i="1"/>
  <c r="BT170" i="1"/>
  <c r="AG178" i="1"/>
  <c r="AI178" i="1"/>
  <c r="AH178" i="1"/>
  <c r="AE178" i="1"/>
  <c r="AI177" i="1"/>
  <c r="AI170" i="1"/>
  <c r="AH177" i="1"/>
  <c r="AG170" i="1"/>
  <c r="AF170" i="1"/>
  <c r="AE177" i="1"/>
  <c r="B180" i="1"/>
  <c r="AS171" i="1"/>
  <c r="BS170" i="1"/>
  <c r="BQ170" i="1"/>
  <c r="BP170" i="1"/>
  <c r="BO170" i="1"/>
  <c r="BU169" i="1"/>
  <c r="BT169" i="1"/>
  <c r="BR169" i="1"/>
  <c r="BQ169" i="1"/>
  <c r="BR164" i="1"/>
  <c r="BT164" i="1"/>
  <c r="BU164" i="1"/>
  <c r="AJ164" i="1"/>
  <c r="BS164" i="1"/>
  <c r="BQ164" i="1"/>
  <c r="AF164" i="1"/>
  <c r="BP164" i="1"/>
  <c r="BO164" i="1"/>
  <c r="AH170" i="1"/>
  <c r="AG169" i="1"/>
  <c r="AF169" i="1"/>
  <c r="AE170" i="1"/>
  <c r="AI169" i="1"/>
  <c r="AJ169" i="1"/>
  <c r="AI164" i="1"/>
  <c r="AH164" i="1"/>
  <c r="AG164" i="1"/>
  <c r="AG162" i="1"/>
  <c r="AF162" i="1"/>
  <c r="AE164" i="1"/>
  <c r="BR162" i="1"/>
  <c r="BS169" i="1"/>
  <c r="BQ162" i="1"/>
  <c r="BP169" i="1"/>
  <c r="BO169" i="1"/>
  <c r="AH169" i="1"/>
  <c r="AE169" i="1"/>
  <c r="B166" i="1"/>
  <c r="B167" i="1" s="1"/>
  <c r="B168" i="1" s="1"/>
  <c r="V2" i="1"/>
  <c r="AP2" i="1"/>
  <c r="AQ16" i="1" s="1"/>
  <c r="AQ2" i="1"/>
  <c r="BC2" i="1"/>
  <c r="CA2" i="1"/>
  <c r="CB13" i="1" s="1"/>
  <c r="CB2" i="1"/>
  <c r="N4" i="1"/>
  <c r="A10" i="1"/>
  <c r="A13" i="1"/>
  <c r="E18" i="1"/>
  <c r="A19" i="1"/>
  <c r="A20" i="1" s="1"/>
  <c r="A21" i="1" s="1"/>
  <c r="AL23" i="1"/>
  <c r="B26" i="1"/>
  <c r="B27" i="1" s="1"/>
  <c r="AE43" i="1"/>
  <c r="AF43" i="1"/>
  <c r="AG43" i="1"/>
  <c r="AH43" i="1"/>
  <c r="AI43" i="1"/>
  <c r="AJ43" i="1"/>
  <c r="BO43" i="1"/>
  <c r="BP43" i="1"/>
  <c r="BQ43" i="1"/>
  <c r="BR43" i="1"/>
  <c r="BS43" i="1"/>
  <c r="BT43" i="1"/>
  <c r="BU43" i="1"/>
  <c r="AE46" i="1"/>
  <c r="AF46" i="1"/>
  <c r="AG46" i="1"/>
  <c r="AH46" i="1"/>
  <c r="AI46" i="1"/>
  <c r="AJ46" i="1"/>
  <c r="BO46" i="1"/>
  <c r="BP46" i="1"/>
  <c r="BQ46" i="1"/>
  <c r="BR46" i="1"/>
  <c r="BS46" i="1"/>
  <c r="BT46" i="1"/>
  <c r="BU46" i="1"/>
  <c r="B48" i="1"/>
  <c r="B49" i="1" s="1"/>
  <c r="B50" i="1" s="1"/>
  <c r="AE50" i="1"/>
  <c r="AF50" i="1"/>
  <c r="AG50" i="1"/>
  <c r="AH50" i="1"/>
  <c r="AI50" i="1"/>
  <c r="AJ50" i="1"/>
  <c r="BO50" i="1"/>
  <c r="BP50" i="1"/>
  <c r="BQ50" i="1"/>
  <c r="BR50" i="1"/>
  <c r="BS50" i="1"/>
  <c r="BT50" i="1"/>
  <c r="BU50" i="1"/>
  <c r="B51" i="1"/>
  <c r="AE51" i="1"/>
  <c r="AF51" i="1"/>
  <c r="AG51" i="1"/>
  <c r="AH51" i="1"/>
  <c r="AI51" i="1"/>
  <c r="AJ51" i="1"/>
  <c r="BO51" i="1"/>
  <c r="BP51" i="1"/>
  <c r="BQ51" i="1"/>
  <c r="BR51" i="1"/>
  <c r="BS51" i="1"/>
  <c r="BT51" i="1"/>
  <c r="BU51" i="1"/>
  <c r="AE56" i="1"/>
  <c r="AF56" i="1"/>
  <c r="AG56" i="1"/>
  <c r="AH56" i="1"/>
  <c r="AI56" i="1"/>
  <c r="AJ56" i="1"/>
  <c r="BO56" i="1"/>
  <c r="BP56" i="1"/>
  <c r="BQ56" i="1"/>
  <c r="BR56" i="1"/>
  <c r="BS56" i="1"/>
  <c r="BT56" i="1"/>
  <c r="BU56" i="1"/>
  <c r="AE57" i="1"/>
  <c r="AF57" i="1"/>
  <c r="AG57" i="1"/>
  <c r="AH57" i="1"/>
  <c r="AI57" i="1"/>
  <c r="AJ57" i="1"/>
  <c r="BO57" i="1"/>
  <c r="BP57" i="1"/>
  <c r="BQ57" i="1"/>
  <c r="BR57" i="1"/>
  <c r="BS57" i="1"/>
  <c r="BT57" i="1"/>
  <c r="BU57" i="1"/>
  <c r="B59" i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1" i="1" s="1"/>
  <c r="B72" i="1" s="1"/>
  <c r="B73" i="1" s="1"/>
  <c r="B74" i="1" s="1"/>
  <c r="B75" i="1" s="1"/>
  <c r="B76" i="1" s="1"/>
  <c r="B78" i="1" s="1"/>
  <c r="B80" i="1" s="1"/>
  <c r="B82" i="1" s="1"/>
  <c r="AE63" i="1"/>
  <c r="AF63" i="1"/>
  <c r="AG63" i="1"/>
  <c r="AH63" i="1"/>
  <c r="AI63" i="1"/>
  <c r="AJ63" i="1"/>
  <c r="BO63" i="1"/>
  <c r="BP63" i="1"/>
  <c r="BQ63" i="1"/>
  <c r="BR63" i="1"/>
  <c r="BS63" i="1"/>
  <c r="BT63" i="1"/>
  <c r="BU63" i="1"/>
  <c r="AE67" i="1"/>
  <c r="AF67" i="1"/>
  <c r="AG67" i="1"/>
  <c r="AH67" i="1"/>
  <c r="AI67" i="1"/>
  <c r="AJ67" i="1"/>
  <c r="BO67" i="1"/>
  <c r="BP67" i="1"/>
  <c r="BQ67" i="1"/>
  <c r="BR67" i="1"/>
  <c r="BS67" i="1"/>
  <c r="BT67" i="1"/>
  <c r="BU67" i="1"/>
  <c r="BW67" i="1"/>
  <c r="AE70" i="1"/>
  <c r="AF70" i="1"/>
  <c r="AG70" i="1"/>
  <c r="AH70" i="1"/>
  <c r="AI70" i="1"/>
  <c r="AJ70" i="1"/>
  <c r="BO70" i="1"/>
  <c r="BP70" i="1"/>
  <c r="BQ70" i="1"/>
  <c r="BR70" i="1"/>
  <c r="BS70" i="1"/>
  <c r="BT70" i="1"/>
  <c r="BU70" i="1"/>
  <c r="AE71" i="1"/>
  <c r="AF71" i="1"/>
  <c r="AG71" i="1"/>
  <c r="AH71" i="1"/>
  <c r="AI71" i="1"/>
  <c r="AJ71" i="1"/>
  <c r="BO71" i="1"/>
  <c r="BP71" i="1"/>
  <c r="BQ71" i="1"/>
  <c r="BR71" i="1"/>
  <c r="BS71" i="1"/>
  <c r="BT71" i="1"/>
  <c r="BU71" i="1"/>
  <c r="AE78" i="1"/>
  <c r="AF78" i="1"/>
  <c r="AG78" i="1"/>
  <c r="AH78" i="1"/>
  <c r="AI78" i="1"/>
  <c r="AJ78" i="1"/>
  <c r="BO78" i="1"/>
  <c r="BP78" i="1"/>
  <c r="BQ78" i="1"/>
  <c r="BR78" i="1"/>
  <c r="BS78" i="1"/>
  <c r="BT78" i="1"/>
  <c r="BU78" i="1"/>
  <c r="AE81" i="1"/>
  <c r="AF81" i="1"/>
  <c r="AG81" i="1"/>
  <c r="AH81" i="1"/>
  <c r="AI81" i="1"/>
  <c r="AJ81" i="1"/>
  <c r="BO81" i="1"/>
  <c r="BP81" i="1"/>
  <c r="BQ81" i="1"/>
  <c r="BR81" i="1"/>
  <c r="BS81" i="1"/>
  <c r="BT81" i="1"/>
  <c r="BU81" i="1"/>
  <c r="B84" i="1"/>
  <c r="AE85" i="1"/>
  <c r="AF85" i="1"/>
  <c r="AG85" i="1"/>
  <c r="AH85" i="1"/>
  <c r="AI85" i="1"/>
  <c r="AJ85" i="1"/>
  <c r="BO85" i="1"/>
  <c r="BP85" i="1"/>
  <c r="BQ85" i="1"/>
  <c r="BR85" i="1"/>
  <c r="BS85" i="1"/>
  <c r="BT85" i="1"/>
  <c r="BU85" i="1"/>
  <c r="AE86" i="1"/>
  <c r="AF86" i="1"/>
  <c r="AG86" i="1"/>
  <c r="AH86" i="1"/>
  <c r="AI86" i="1"/>
  <c r="AJ86" i="1"/>
  <c r="BO86" i="1"/>
  <c r="BP86" i="1"/>
  <c r="BQ86" i="1"/>
  <c r="BR86" i="1"/>
  <c r="BS86" i="1"/>
  <c r="BT86" i="1"/>
  <c r="BU86" i="1"/>
  <c r="B88" i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AE92" i="1"/>
  <c r="AF92" i="1"/>
  <c r="AG92" i="1"/>
  <c r="AH92" i="1"/>
  <c r="AI92" i="1"/>
  <c r="AJ92" i="1"/>
  <c r="BO92" i="1"/>
  <c r="BP92" i="1"/>
  <c r="BQ92" i="1"/>
  <c r="BR92" i="1"/>
  <c r="BS92" i="1"/>
  <c r="BT92" i="1"/>
  <c r="BU92" i="1"/>
  <c r="AE93" i="1"/>
  <c r="AF93" i="1"/>
  <c r="AG93" i="1"/>
  <c r="AH93" i="1"/>
  <c r="AI93" i="1"/>
  <c r="AJ93" i="1"/>
  <c r="BO93" i="1"/>
  <c r="BP93" i="1"/>
  <c r="BQ93" i="1"/>
  <c r="BR93" i="1"/>
  <c r="BS93" i="1"/>
  <c r="BT93" i="1"/>
  <c r="BU93" i="1"/>
  <c r="AE99" i="1"/>
  <c r="AF99" i="1"/>
  <c r="AG99" i="1"/>
  <c r="AH99" i="1"/>
  <c r="AI99" i="1"/>
  <c r="AJ99" i="1"/>
  <c r="BO99" i="1"/>
  <c r="BP99" i="1"/>
  <c r="BQ99" i="1"/>
  <c r="BR99" i="1"/>
  <c r="BS99" i="1"/>
  <c r="BT99" i="1"/>
  <c r="BU99" i="1"/>
  <c r="AE101" i="1"/>
  <c r="AF101" i="1"/>
  <c r="AG101" i="1"/>
  <c r="AH101" i="1"/>
  <c r="AI101" i="1"/>
  <c r="AJ101" i="1"/>
  <c r="BO101" i="1"/>
  <c r="BP101" i="1"/>
  <c r="BQ101" i="1"/>
  <c r="BR101" i="1"/>
  <c r="BS101" i="1"/>
  <c r="BT101" i="1"/>
  <c r="BU101" i="1"/>
  <c r="AE106" i="1"/>
  <c r="AF106" i="1"/>
  <c r="AG106" i="1"/>
  <c r="AH106" i="1"/>
  <c r="AI106" i="1"/>
  <c r="AJ106" i="1"/>
  <c r="BO106" i="1"/>
  <c r="BP106" i="1"/>
  <c r="BQ106" i="1"/>
  <c r="BR106" i="1"/>
  <c r="BS106" i="1"/>
  <c r="BT106" i="1"/>
  <c r="BU106" i="1"/>
  <c r="AE116" i="1"/>
  <c r="AF116" i="1"/>
  <c r="AG116" i="1"/>
  <c r="AH116" i="1"/>
  <c r="AI116" i="1"/>
  <c r="AJ116" i="1"/>
  <c r="BO116" i="1"/>
  <c r="BP116" i="1"/>
  <c r="BQ116" i="1"/>
  <c r="BR116" i="1"/>
  <c r="BS116" i="1"/>
  <c r="BT116" i="1"/>
  <c r="BU116" i="1"/>
  <c r="AE123" i="1"/>
  <c r="AF123" i="1"/>
  <c r="AG123" i="1"/>
  <c r="AH123" i="1"/>
  <c r="AI123" i="1"/>
  <c r="AJ123" i="1"/>
  <c r="BO123" i="1"/>
  <c r="BP123" i="1"/>
  <c r="BQ123" i="1"/>
  <c r="BR123" i="1"/>
  <c r="BS123" i="1"/>
  <c r="BT123" i="1"/>
  <c r="BU123" i="1"/>
  <c r="B126" i="1"/>
  <c r="B129" i="1" s="1"/>
  <c r="B130" i="1" s="1"/>
  <c r="B131" i="1" s="1"/>
  <c r="B132" i="1" s="1"/>
  <c r="B133" i="1" s="1"/>
  <c r="B134" i="1" s="1"/>
  <c r="AE127" i="1"/>
  <c r="AF127" i="1"/>
  <c r="AG127" i="1"/>
  <c r="AH127" i="1"/>
  <c r="AI127" i="1"/>
  <c r="AJ127" i="1"/>
  <c r="BO127" i="1"/>
  <c r="BP127" i="1"/>
  <c r="BQ127" i="1"/>
  <c r="BR127" i="1"/>
  <c r="BS127" i="1"/>
  <c r="BT127" i="1"/>
  <c r="BU127" i="1"/>
  <c r="CT134" i="1"/>
  <c r="CX134" i="1"/>
  <c r="DD134" i="1"/>
  <c r="AE135" i="1"/>
  <c r="AF135" i="1"/>
  <c r="AG135" i="1"/>
  <c r="AH135" i="1"/>
  <c r="AI135" i="1"/>
  <c r="AJ135" i="1"/>
  <c r="BO135" i="1"/>
  <c r="BP135" i="1"/>
  <c r="BQ135" i="1"/>
  <c r="BR135" i="1"/>
  <c r="BS135" i="1"/>
  <c r="BT135" i="1"/>
  <c r="BU135" i="1"/>
  <c r="CT135" i="1"/>
  <c r="CX135" i="1"/>
  <c r="DD135" i="1"/>
  <c r="CT136" i="1"/>
  <c r="DD136" i="1"/>
  <c r="B137" i="1"/>
  <c r="B138" i="1" s="1"/>
  <c r="B139" i="1" s="1"/>
  <c r="B140" i="1" s="1"/>
  <c r="B141" i="1" s="1"/>
  <c r="B142" i="1" s="1"/>
  <c r="AE150" i="1"/>
  <c r="AF150" i="1"/>
  <c r="AG150" i="1"/>
  <c r="AH150" i="1"/>
  <c r="AI150" i="1"/>
  <c r="AJ150" i="1"/>
  <c r="BO150" i="1"/>
  <c r="BP150" i="1"/>
  <c r="BQ150" i="1"/>
  <c r="BR150" i="1"/>
  <c r="BS150" i="1"/>
  <c r="BT150" i="1"/>
  <c r="BU150" i="1"/>
  <c r="AE151" i="1"/>
  <c r="AF151" i="1"/>
  <c r="AG151" i="1"/>
  <c r="AH151" i="1"/>
  <c r="AI151" i="1"/>
  <c r="AJ151" i="1"/>
  <c r="BO151" i="1"/>
  <c r="BP151" i="1"/>
  <c r="BQ151" i="1"/>
  <c r="BR151" i="1"/>
  <c r="BS151" i="1"/>
  <c r="BT151" i="1"/>
  <c r="BU151" i="1"/>
  <c r="B155" i="1"/>
  <c r="AE156" i="1"/>
  <c r="AF156" i="1"/>
  <c r="AG156" i="1"/>
  <c r="AH156" i="1"/>
  <c r="AI156" i="1"/>
  <c r="AJ156" i="1"/>
  <c r="BO156" i="1"/>
  <c r="BP156" i="1"/>
  <c r="BQ156" i="1"/>
  <c r="BR156" i="1"/>
  <c r="BS156" i="1"/>
  <c r="BT156" i="1"/>
  <c r="BU156" i="1"/>
  <c r="AE162" i="1"/>
  <c r="AH162" i="1"/>
  <c r="AI162" i="1"/>
  <c r="AJ162" i="1"/>
  <c r="BO162" i="1"/>
  <c r="BP162" i="1"/>
  <c r="BS162" i="1"/>
  <c r="BT162" i="1"/>
  <c r="BU162" i="1"/>
  <c r="CT167" i="1"/>
  <c r="CX167" i="1"/>
  <c r="CY167" i="1"/>
  <c r="DD167" i="1"/>
  <c r="DG167" i="1"/>
  <c r="CT168" i="1"/>
  <c r="CX168" i="1"/>
  <c r="CY168" i="1"/>
  <c r="DD168" i="1"/>
  <c r="DG168" i="1"/>
  <c r="CT169" i="1"/>
  <c r="CX169" i="1"/>
  <c r="CY169" i="1"/>
  <c r="DD169" i="1"/>
  <c r="DG169" i="1"/>
  <c r="CT193" i="1"/>
  <c r="CX193" i="1"/>
  <c r="CY193" i="1"/>
  <c r="DD193" i="1"/>
  <c r="DG193" i="1"/>
  <c r="DH193" i="1"/>
  <c r="CT194" i="1"/>
  <c r="CX194" i="1"/>
  <c r="CY194" i="1"/>
  <c r="DD194" i="1"/>
  <c r="DG194" i="1"/>
  <c r="DH194" i="1"/>
  <c r="CT195" i="1"/>
  <c r="CX195" i="1"/>
  <c r="CY195" i="1"/>
  <c r="DD195" i="1"/>
  <c r="DG195" i="1"/>
  <c r="DH195" i="1"/>
  <c r="CT266" i="1"/>
  <c r="CX266" i="1"/>
  <c r="CY266" i="1"/>
  <c r="DD266" i="1"/>
  <c r="DG266" i="1"/>
  <c r="DH266" i="1"/>
  <c r="CT267" i="1"/>
  <c r="CX267" i="1"/>
  <c r="CY267" i="1"/>
  <c r="DD267" i="1"/>
  <c r="DG267" i="1"/>
  <c r="DH267" i="1"/>
  <c r="CT268" i="1"/>
  <c r="CX268" i="1"/>
  <c r="CY268" i="1"/>
  <c r="DD268" i="1"/>
  <c r="DG268" i="1"/>
  <c r="DH268" i="1"/>
  <c r="CT285" i="1"/>
  <c r="CX285" i="1"/>
  <c r="CY285" i="1"/>
  <c r="DD285" i="1"/>
  <c r="DG285" i="1"/>
  <c r="DH285" i="1"/>
  <c r="CT286" i="1"/>
  <c r="CX286" i="1"/>
  <c r="CY286" i="1"/>
  <c r="DD286" i="1"/>
  <c r="DG286" i="1"/>
  <c r="DH286" i="1"/>
  <c r="CT287" i="1"/>
  <c r="CX287" i="1"/>
  <c r="CY287" i="1"/>
  <c r="DD287" i="1"/>
  <c r="DG287" i="1"/>
  <c r="DH287" i="1"/>
  <c r="CT353" i="1"/>
  <c r="CX353" i="1"/>
  <c r="CY353" i="1"/>
  <c r="DD353" i="1"/>
  <c r="DG353" i="1"/>
  <c r="DH353" i="1"/>
  <c r="CT354" i="1"/>
  <c r="CX354" i="1"/>
  <c r="CY354" i="1"/>
  <c r="DD354" i="1"/>
  <c r="DG354" i="1"/>
  <c r="DH354" i="1"/>
  <c r="CT355" i="1"/>
  <c r="CX355" i="1"/>
  <c r="CY355" i="1"/>
  <c r="DD355" i="1"/>
  <c r="DG355" i="1"/>
  <c r="DH355" i="1"/>
  <c r="CT372" i="1"/>
  <c r="CX372" i="1"/>
  <c r="CY372" i="1"/>
  <c r="DD372" i="1"/>
  <c r="DG372" i="1"/>
  <c r="DH372" i="1"/>
  <c r="CT373" i="1"/>
  <c r="CX373" i="1"/>
  <c r="CY373" i="1"/>
  <c r="DD373" i="1"/>
  <c r="DG373" i="1"/>
  <c r="DH373" i="1"/>
  <c r="CT374" i="1"/>
  <c r="CX374" i="1"/>
  <c r="CY374" i="1"/>
  <c r="DD374" i="1"/>
  <c r="DG374" i="1"/>
  <c r="DH374" i="1"/>
  <c r="BT183" i="1"/>
  <c r="BP183" i="1"/>
  <c r="C637" i="1" l="1"/>
  <c r="B638" i="1"/>
  <c r="Q407" i="1"/>
  <c r="R407" i="1" s="1"/>
  <c r="Q585" i="1"/>
  <c r="R585" i="1" s="1"/>
  <c r="Q589" i="1"/>
  <c r="R589" i="1" s="1"/>
  <c r="Q587" i="1"/>
  <c r="R587" i="1" s="1"/>
  <c r="Q582" i="1"/>
  <c r="R582" i="1" s="1"/>
  <c r="Q580" i="1"/>
  <c r="R580" i="1" s="1"/>
  <c r="AQ604" i="1"/>
  <c r="AQ608" i="1"/>
  <c r="AQ612" i="1"/>
  <c r="AQ616" i="1"/>
  <c r="AQ598" i="1"/>
  <c r="AQ603" i="1"/>
  <c r="AQ609" i="1"/>
  <c r="AQ614" i="1"/>
  <c r="AQ605" i="1"/>
  <c r="AQ610" i="1"/>
  <c r="AQ615" i="1"/>
  <c r="AQ601" i="1"/>
  <c r="AQ606" i="1"/>
  <c r="AQ611" i="1"/>
  <c r="AQ617" i="1"/>
  <c r="AQ600" i="1"/>
  <c r="AQ599" i="1"/>
  <c r="AQ602" i="1"/>
  <c r="AQ607" i="1"/>
  <c r="AQ613" i="1"/>
  <c r="AQ595" i="1"/>
  <c r="AQ592" i="1"/>
  <c r="AQ596" i="1"/>
  <c r="AQ597" i="1"/>
  <c r="AQ594" i="1"/>
  <c r="AQ593" i="1"/>
  <c r="AQ586" i="1"/>
  <c r="AQ584" i="1"/>
  <c r="AQ585" i="1"/>
  <c r="AQ591" i="1"/>
  <c r="AQ589" i="1"/>
  <c r="AQ587" i="1"/>
  <c r="AQ590" i="1"/>
  <c r="AQ588" i="1"/>
  <c r="AQ580" i="1"/>
  <c r="AQ578" i="1"/>
  <c r="AQ581" i="1"/>
  <c r="AQ583" i="1"/>
  <c r="AQ579" i="1"/>
  <c r="AQ582" i="1"/>
  <c r="AQ569" i="1"/>
  <c r="AQ575" i="1"/>
  <c r="AQ568" i="1"/>
  <c r="AQ573" i="1"/>
  <c r="AQ576" i="1"/>
  <c r="AQ570" i="1"/>
  <c r="AQ577" i="1"/>
  <c r="AQ571" i="1"/>
  <c r="AQ574" i="1"/>
  <c r="AQ572" i="1"/>
  <c r="CB615" i="1"/>
  <c r="CB614" i="1"/>
  <c r="CB610" i="1"/>
  <c r="CB606" i="1"/>
  <c r="CB602" i="1"/>
  <c r="CB598" i="1"/>
  <c r="CB617" i="1"/>
  <c r="CB613" i="1"/>
  <c r="CB609" i="1"/>
  <c r="CB605" i="1"/>
  <c r="CB601" i="1"/>
  <c r="CB612" i="1"/>
  <c r="CB604" i="1"/>
  <c r="CB611" i="1"/>
  <c r="CB603" i="1"/>
  <c r="CB608" i="1"/>
  <c r="CB600" i="1"/>
  <c r="CB616" i="1"/>
  <c r="CB607" i="1"/>
  <c r="CB599" i="1"/>
  <c r="CB594" i="1"/>
  <c r="CB597" i="1"/>
  <c r="CB593" i="1"/>
  <c r="CB596" i="1"/>
  <c r="CB592" i="1"/>
  <c r="CB595" i="1"/>
  <c r="CB590" i="1"/>
  <c r="CB588" i="1"/>
  <c r="CB591" i="1"/>
  <c r="CB589" i="1"/>
  <c r="CB587" i="1"/>
  <c r="CB585" i="1"/>
  <c r="CB586" i="1"/>
  <c r="CB584" i="1"/>
  <c r="CB578" i="1"/>
  <c r="CB581" i="1"/>
  <c r="CB579" i="1"/>
  <c r="CB582" i="1"/>
  <c r="CB580" i="1"/>
  <c r="CB583" i="1"/>
  <c r="CB568" i="1"/>
  <c r="CB576" i="1"/>
  <c r="CB571" i="1"/>
  <c r="CB577" i="1"/>
  <c r="CB569" i="1"/>
  <c r="CB572" i="1"/>
  <c r="CB574" i="1"/>
  <c r="CB570" i="1"/>
  <c r="CB573" i="1"/>
  <c r="CB575" i="1"/>
  <c r="AQ560" i="1"/>
  <c r="AQ564" i="1"/>
  <c r="AQ557" i="1"/>
  <c r="AQ562" i="1"/>
  <c r="AQ559" i="1"/>
  <c r="AQ567" i="1"/>
  <c r="AQ556" i="1"/>
  <c r="AQ561" i="1"/>
  <c r="AQ565" i="1"/>
  <c r="AQ558" i="1"/>
  <c r="AQ566" i="1"/>
  <c r="AQ555" i="1"/>
  <c r="AQ563" i="1"/>
  <c r="CB566" i="1"/>
  <c r="CB562" i="1"/>
  <c r="CB558" i="1"/>
  <c r="CB556" i="1"/>
  <c r="CB565" i="1"/>
  <c r="CB561" i="1"/>
  <c r="CB564" i="1"/>
  <c r="CB557" i="1"/>
  <c r="CB567" i="1"/>
  <c r="CB563" i="1"/>
  <c r="CB559" i="1"/>
  <c r="CB555" i="1"/>
  <c r="CB560" i="1"/>
  <c r="AQ552" i="1"/>
  <c r="AQ549" i="1"/>
  <c r="AQ553" i="1"/>
  <c r="AQ550" i="1"/>
  <c r="AQ554" i="1"/>
  <c r="AQ551" i="1"/>
  <c r="Q236" i="1"/>
  <c r="R236" i="1" s="1"/>
  <c r="CB554" i="1"/>
  <c r="CB550" i="1"/>
  <c r="CB553" i="1"/>
  <c r="CB549" i="1"/>
  <c r="CB552" i="1"/>
  <c r="CB551" i="1"/>
  <c r="AQ542" i="1"/>
  <c r="AQ546" i="1"/>
  <c r="AQ534" i="1"/>
  <c r="AQ538" i="1"/>
  <c r="AQ543" i="1"/>
  <c r="AQ547" i="1"/>
  <c r="AQ535" i="1"/>
  <c r="AQ539" i="1"/>
  <c r="AQ545" i="1"/>
  <c r="AQ537" i="1"/>
  <c r="AQ548" i="1"/>
  <c r="AQ540" i="1"/>
  <c r="AQ533" i="1"/>
  <c r="AQ541" i="1"/>
  <c r="AQ544" i="1"/>
  <c r="AQ536" i="1"/>
  <c r="CB545" i="1"/>
  <c r="CB541" i="1"/>
  <c r="CB537" i="1"/>
  <c r="CB533" i="1"/>
  <c r="CB548" i="1"/>
  <c r="CB544" i="1"/>
  <c r="CB540" i="1"/>
  <c r="CB536" i="1"/>
  <c r="CB543" i="1"/>
  <c r="CB535" i="1"/>
  <c r="CB542" i="1"/>
  <c r="CB534" i="1"/>
  <c r="CB547" i="1"/>
  <c r="CB539" i="1"/>
  <c r="CB538" i="1"/>
  <c r="CB546" i="1"/>
  <c r="AQ530" i="1"/>
  <c r="AQ528" i="1"/>
  <c r="AQ531" i="1"/>
  <c r="AQ529" i="1"/>
  <c r="AQ532" i="1"/>
  <c r="AQ522" i="1"/>
  <c r="AQ526" i="1"/>
  <c r="AQ519" i="1"/>
  <c r="AQ524" i="1"/>
  <c r="AQ520" i="1"/>
  <c r="AQ525" i="1"/>
  <c r="AQ521" i="1"/>
  <c r="AQ527" i="1"/>
  <c r="AQ523" i="1"/>
  <c r="CB531" i="1"/>
  <c r="CB528" i="1"/>
  <c r="CB532" i="1"/>
  <c r="CB529" i="1"/>
  <c r="CB530" i="1"/>
  <c r="CB526" i="1"/>
  <c r="CB522" i="1"/>
  <c r="CB521" i="1"/>
  <c r="CB525" i="1"/>
  <c r="CB520" i="1"/>
  <c r="CB524" i="1"/>
  <c r="CB519" i="1"/>
  <c r="CB527" i="1"/>
  <c r="CB523" i="1"/>
  <c r="AQ507" i="1"/>
  <c r="AQ511" i="1"/>
  <c r="AQ515" i="1"/>
  <c r="AQ506" i="1"/>
  <c r="AQ512" i="1"/>
  <c r="AQ509" i="1"/>
  <c r="AQ517" i="1"/>
  <c r="AQ510" i="1"/>
  <c r="AQ514" i="1"/>
  <c r="AQ518" i="1"/>
  <c r="AQ508" i="1"/>
  <c r="AQ516" i="1"/>
  <c r="AQ505" i="1"/>
  <c r="AQ498" i="1"/>
  <c r="AQ513" i="1"/>
  <c r="AQ494" i="1"/>
  <c r="CB516" i="1"/>
  <c r="CB512" i="1"/>
  <c r="CB508" i="1"/>
  <c r="CB511" i="1"/>
  <c r="CB518" i="1"/>
  <c r="CB510" i="1"/>
  <c r="CB517" i="1"/>
  <c r="CB513" i="1"/>
  <c r="CB509" i="1"/>
  <c r="CB505" i="1"/>
  <c r="CB498" i="1"/>
  <c r="CB515" i="1"/>
  <c r="CB507" i="1"/>
  <c r="CB514" i="1"/>
  <c r="CB506" i="1"/>
  <c r="CB494" i="1"/>
  <c r="Q218" i="1"/>
  <c r="R218" i="1" s="1"/>
  <c r="Q215" i="1"/>
  <c r="R215" i="1" s="1"/>
  <c r="CB28" i="1"/>
  <c r="CB503" i="1"/>
  <c r="CB501" i="1"/>
  <c r="CB499" i="1"/>
  <c r="CB502" i="1"/>
  <c r="CB500" i="1"/>
  <c r="CB504" i="1"/>
  <c r="CB497" i="1"/>
  <c r="CB493" i="1"/>
  <c r="CB496" i="1"/>
  <c r="CB492" i="1"/>
  <c r="CB495" i="1"/>
  <c r="CB491" i="1"/>
  <c r="CB490" i="1"/>
  <c r="AQ497" i="1"/>
  <c r="AQ504" i="1"/>
  <c r="AQ502" i="1"/>
  <c r="AQ500" i="1"/>
  <c r="AQ503" i="1"/>
  <c r="AQ499" i="1"/>
  <c r="AQ501" i="1"/>
  <c r="AQ491" i="1"/>
  <c r="AQ495" i="1"/>
  <c r="AQ490" i="1"/>
  <c r="AQ469" i="1"/>
  <c r="AQ473" i="1"/>
  <c r="AQ477" i="1"/>
  <c r="AQ481" i="1"/>
  <c r="AQ485" i="1"/>
  <c r="AQ463" i="1"/>
  <c r="AQ459" i="1"/>
  <c r="AQ437" i="1"/>
  <c r="AQ441" i="1"/>
  <c r="AQ445" i="1"/>
  <c r="AQ449" i="1"/>
  <c r="AQ453" i="1"/>
  <c r="AQ457" i="1"/>
  <c r="AQ422" i="1"/>
  <c r="AQ426" i="1"/>
  <c r="AQ430" i="1"/>
  <c r="AQ434" i="1"/>
  <c r="AQ306" i="1"/>
  <c r="AQ310" i="1"/>
  <c r="AQ314" i="1"/>
  <c r="AQ318" i="1"/>
  <c r="AQ322" i="1"/>
  <c r="AQ326" i="1"/>
  <c r="AQ330" i="1"/>
  <c r="AQ334" i="1"/>
  <c r="AQ338" i="1"/>
  <c r="AQ342" i="1"/>
  <c r="AQ346" i="1"/>
  <c r="AQ350" i="1"/>
  <c r="AQ354" i="1"/>
  <c r="AQ358" i="1"/>
  <c r="AQ362" i="1"/>
  <c r="AQ366" i="1"/>
  <c r="AQ370" i="1"/>
  <c r="AQ374" i="1"/>
  <c r="AQ378" i="1"/>
  <c r="AQ382" i="1"/>
  <c r="AQ386" i="1"/>
  <c r="AQ390" i="1"/>
  <c r="AQ394" i="1"/>
  <c r="AQ398" i="1"/>
  <c r="AQ402" i="1"/>
  <c r="AQ406" i="1"/>
  <c r="AQ410" i="1"/>
  <c r="AQ414" i="1"/>
  <c r="AQ305" i="1"/>
  <c r="AQ294" i="1"/>
  <c r="AQ298" i="1"/>
  <c r="AQ302" i="1"/>
  <c r="AQ286" i="1"/>
  <c r="AQ290" i="1"/>
  <c r="AQ280" i="1"/>
  <c r="AQ492" i="1"/>
  <c r="AQ496" i="1"/>
  <c r="AQ488" i="1"/>
  <c r="AQ470" i="1"/>
  <c r="AQ474" i="1"/>
  <c r="AQ478" i="1"/>
  <c r="AQ482" i="1"/>
  <c r="AQ486" i="1"/>
  <c r="AQ464" i="1"/>
  <c r="AQ460" i="1"/>
  <c r="AQ438" i="1"/>
  <c r="AQ442" i="1"/>
  <c r="AQ446" i="1"/>
  <c r="AQ450" i="1"/>
  <c r="AQ454" i="1"/>
  <c r="AQ458" i="1"/>
  <c r="AQ423" i="1"/>
  <c r="AQ427" i="1"/>
  <c r="AQ431" i="1"/>
  <c r="AQ435" i="1"/>
  <c r="AQ307" i="1"/>
  <c r="AQ311" i="1"/>
  <c r="AQ315" i="1"/>
  <c r="AQ319" i="1"/>
  <c r="AQ323" i="1"/>
  <c r="AQ327" i="1"/>
  <c r="AQ331" i="1"/>
  <c r="AQ335" i="1"/>
  <c r="AQ339" i="1"/>
  <c r="AQ343" i="1"/>
  <c r="AQ347" i="1"/>
  <c r="AQ351" i="1"/>
  <c r="AQ355" i="1"/>
  <c r="AQ359" i="1"/>
  <c r="AQ363" i="1"/>
  <c r="AQ367" i="1"/>
  <c r="AQ371" i="1"/>
  <c r="AQ375" i="1"/>
  <c r="AQ379" i="1"/>
  <c r="AQ383" i="1"/>
  <c r="AQ387" i="1"/>
  <c r="AQ391" i="1"/>
  <c r="AQ395" i="1"/>
  <c r="AQ399" i="1"/>
  <c r="AQ403" i="1"/>
  <c r="AQ407" i="1"/>
  <c r="AQ411" i="1"/>
  <c r="AQ415" i="1"/>
  <c r="AQ304" i="1"/>
  <c r="AQ295" i="1"/>
  <c r="AQ299" i="1"/>
  <c r="AQ283" i="1"/>
  <c r="AQ287" i="1"/>
  <c r="AQ291" i="1"/>
  <c r="AQ281" i="1"/>
  <c r="AQ303" i="1"/>
  <c r="AQ493" i="1"/>
  <c r="AQ467" i="1"/>
  <c r="AQ471" i="1"/>
  <c r="AQ475" i="1"/>
  <c r="AQ479" i="1"/>
  <c r="AQ483" i="1"/>
  <c r="AQ487" i="1"/>
  <c r="AQ465" i="1"/>
  <c r="AQ461" i="1"/>
  <c r="AQ439" i="1"/>
  <c r="AQ443" i="1"/>
  <c r="AQ447" i="1"/>
  <c r="AQ451" i="1"/>
  <c r="AQ455" i="1"/>
  <c r="AQ420" i="1"/>
  <c r="AQ424" i="1"/>
  <c r="AQ428" i="1"/>
  <c r="AQ432" i="1"/>
  <c r="AQ419" i="1"/>
  <c r="AQ308" i="1"/>
  <c r="AQ312" i="1"/>
  <c r="AQ316" i="1"/>
  <c r="AQ320" i="1"/>
  <c r="AQ324" i="1"/>
  <c r="AQ328" i="1"/>
  <c r="AQ332" i="1"/>
  <c r="AQ336" i="1"/>
  <c r="AQ340" i="1"/>
  <c r="AQ344" i="1"/>
  <c r="AQ348" i="1"/>
  <c r="AQ352" i="1"/>
  <c r="AQ356" i="1"/>
  <c r="AQ360" i="1"/>
  <c r="AQ364" i="1"/>
  <c r="AQ368" i="1"/>
  <c r="AQ372" i="1"/>
  <c r="AQ376" i="1"/>
  <c r="AQ380" i="1"/>
  <c r="AQ384" i="1"/>
  <c r="AQ388" i="1"/>
  <c r="AQ392" i="1"/>
  <c r="AQ396" i="1"/>
  <c r="AQ400" i="1"/>
  <c r="AQ404" i="1"/>
  <c r="AQ408" i="1"/>
  <c r="AQ412" i="1"/>
  <c r="AQ416" i="1"/>
  <c r="AQ292" i="1"/>
  <c r="AQ296" i="1"/>
  <c r="AQ300" i="1"/>
  <c r="AQ284" i="1"/>
  <c r="AQ288" i="1"/>
  <c r="AQ278" i="1"/>
  <c r="AQ282" i="1"/>
  <c r="AQ276" i="1"/>
  <c r="AQ468" i="1"/>
  <c r="AQ472" i="1"/>
  <c r="AQ476" i="1"/>
  <c r="AQ480" i="1"/>
  <c r="AQ484" i="1"/>
  <c r="AQ462" i="1"/>
  <c r="AQ466" i="1"/>
  <c r="AQ436" i="1"/>
  <c r="AQ440" i="1"/>
  <c r="AQ444" i="1"/>
  <c r="AQ448" i="1"/>
  <c r="AQ452" i="1"/>
  <c r="AQ456" i="1"/>
  <c r="AQ421" i="1"/>
  <c r="AQ425" i="1"/>
  <c r="AQ429" i="1"/>
  <c r="AQ433" i="1"/>
  <c r="AQ418" i="1"/>
  <c r="AQ309" i="1"/>
  <c r="AQ313" i="1"/>
  <c r="AQ317" i="1"/>
  <c r="AQ321" i="1"/>
  <c r="AQ325" i="1"/>
  <c r="AQ329" i="1"/>
  <c r="AQ333" i="1"/>
  <c r="AQ337" i="1"/>
  <c r="AQ341" i="1"/>
  <c r="AQ345" i="1"/>
  <c r="AQ349" i="1"/>
  <c r="AQ353" i="1"/>
  <c r="AQ357" i="1"/>
  <c r="AQ361" i="1"/>
  <c r="AQ365" i="1"/>
  <c r="AQ369" i="1"/>
  <c r="AQ373" i="1"/>
  <c r="AQ377" i="1"/>
  <c r="AQ381" i="1"/>
  <c r="AQ385" i="1"/>
  <c r="AQ389" i="1"/>
  <c r="AQ393" i="1"/>
  <c r="AQ397" i="1"/>
  <c r="AQ401" i="1"/>
  <c r="AQ405" i="1"/>
  <c r="AQ409" i="1"/>
  <c r="AQ413" i="1"/>
  <c r="AQ417" i="1"/>
  <c r="AQ293" i="1"/>
  <c r="AQ297" i="1"/>
  <c r="AQ301" i="1"/>
  <c r="AQ285" i="1"/>
  <c r="AQ289" i="1"/>
  <c r="AQ279" i="1"/>
  <c r="AQ277" i="1"/>
  <c r="Q229" i="1"/>
  <c r="R229" i="1" s="1"/>
  <c r="CB25" i="1"/>
  <c r="CB23" i="1"/>
  <c r="CB17" i="1"/>
  <c r="Q405" i="1"/>
  <c r="R405" i="1" s="1"/>
  <c r="Q401" i="1"/>
  <c r="R401" i="1" s="1"/>
  <c r="Q395" i="1"/>
  <c r="R395" i="1" s="1"/>
  <c r="Q403" i="1"/>
  <c r="R403" i="1" s="1"/>
  <c r="Q397" i="1"/>
  <c r="R397" i="1" s="1"/>
  <c r="Q393" i="1"/>
  <c r="R393" i="1" s="1"/>
  <c r="AQ26" i="1"/>
  <c r="B79" i="1"/>
  <c r="B81" i="1" s="1"/>
  <c r="Q197" i="1"/>
  <c r="Q199" i="1" s="1"/>
  <c r="AQ29" i="1"/>
  <c r="AQ41" i="1" s="1"/>
  <c r="AQ22" i="1"/>
  <c r="Q227" i="1"/>
  <c r="R227" i="1" s="1"/>
  <c r="AQ27" i="1"/>
  <c r="Q391" i="1"/>
  <c r="R391" i="1" s="1"/>
  <c r="Q385" i="1"/>
  <c r="R385" i="1" s="1"/>
  <c r="Q388" i="1"/>
  <c r="R388" i="1" s="1"/>
  <c r="Q383" i="1"/>
  <c r="R383" i="1" s="1"/>
  <c r="Q377" i="1"/>
  <c r="R377" i="1" s="1"/>
  <c r="Q362" i="1"/>
  <c r="R362" i="1" s="1"/>
  <c r="Q351" i="1"/>
  <c r="R351" i="1" s="1"/>
  <c r="Q365" i="1"/>
  <c r="R365" i="1" s="1"/>
  <c r="Q348" i="1"/>
  <c r="R348" i="1" s="1"/>
  <c r="Q379" i="1"/>
  <c r="R379" i="1" s="1"/>
  <c r="Q360" i="1"/>
  <c r="R360" i="1" s="1"/>
  <c r="Q381" i="1"/>
  <c r="R381" i="1" s="1"/>
  <c r="Q354" i="1"/>
  <c r="R354" i="1" s="1"/>
  <c r="Q375" i="1"/>
  <c r="R375" i="1" s="1"/>
  <c r="Q373" i="1"/>
  <c r="R373" i="1" s="1"/>
  <c r="Q356" i="1"/>
  <c r="R356" i="1" s="1"/>
  <c r="Q213" i="1"/>
  <c r="R213" i="1" s="1"/>
  <c r="AQ24" i="1"/>
  <c r="AQ21" i="1"/>
  <c r="AQ14" i="1"/>
  <c r="Q224" i="1"/>
  <c r="R224" i="1" s="1"/>
  <c r="AQ12" i="1"/>
  <c r="C20" i="1"/>
  <c r="C10" i="1"/>
  <c r="A11" i="1"/>
  <c r="C11" i="1" s="1"/>
  <c r="C19" i="1"/>
  <c r="Q335" i="1"/>
  <c r="R335" i="1" s="1"/>
  <c r="Q338" i="1"/>
  <c r="R338" i="1" s="1"/>
  <c r="Q342" i="1"/>
  <c r="R342" i="1" s="1"/>
  <c r="Q340" i="1"/>
  <c r="R340" i="1" s="1"/>
  <c r="Q234" i="1"/>
  <c r="R234" i="1" s="1"/>
  <c r="Q220" i="1"/>
  <c r="R220" i="1" s="1"/>
  <c r="Q225" i="1"/>
  <c r="R225" i="1" s="1"/>
  <c r="Q222" i="1"/>
  <c r="R222" i="1" s="1"/>
  <c r="Q231" i="1"/>
  <c r="R231" i="1" s="1"/>
  <c r="Q337" i="1"/>
  <c r="R337" i="1" s="1"/>
  <c r="Q331" i="1"/>
  <c r="R331" i="1" s="1"/>
  <c r="Q329" i="1"/>
  <c r="R329" i="1" s="1"/>
  <c r="Q327" i="1"/>
  <c r="R327" i="1" s="1"/>
  <c r="Q325" i="1"/>
  <c r="R325" i="1" s="1"/>
  <c r="AQ15" i="1"/>
  <c r="AQ11" i="1"/>
  <c r="CB29" i="1"/>
  <c r="CB52" i="1" s="1"/>
  <c r="AQ28" i="1"/>
  <c r="CB26" i="1"/>
  <c r="AQ25" i="1"/>
  <c r="AQ23" i="1"/>
  <c r="AQ17" i="1"/>
  <c r="AQ13" i="1"/>
  <c r="CB27" i="1"/>
  <c r="CB24" i="1"/>
  <c r="CB16" i="1"/>
  <c r="Q317" i="1"/>
  <c r="R317" i="1" s="1"/>
  <c r="Q308" i="1"/>
  <c r="R308" i="1" s="1"/>
  <c r="Q312" i="1"/>
  <c r="R312" i="1" s="1"/>
  <c r="Q302" i="1"/>
  <c r="R302" i="1" s="1"/>
  <c r="Q304" i="1"/>
  <c r="R304" i="1" s="1"/>
  <c r="Q298" i="1"/>
  <c r="R298" i="1" s="1"/>
  <c r="Q310" i="1"/>
  <c r="R310" i="1" s="1"/>
  <c r="Q315" i="1"/>
  <c r="R315" i="1" s="1"/>
  <c r="Q306" i="1"/>
  <c r="R306" i="1" s="1"/>
  <c r="Q300" i="1"/>
  <c r="R300" i="1" s="1"/>
  <c r="Q295" i="1"/>
  <c r="R295" i="1" s="1"/>
  <c r="Q287" i="1"/>
  <c r="R287" i="1" s="1"/>
  <c r="Q285" i="1"/>
  <c r="R285" i="1" s="1"/>
  <c r="Q281" i="1"/>
  <c r="R281" i="1" s="1"/>
  <c r="Q279" i="1"/>
  <c r="R279" i="1" s="1"/>
  <c r="Q270" i="1"/>
  <c r="R270" i="1" s="1"/>
  <c r="Q265" i="1"/>
  <c r="R265" i="1" s="1"/>
  <c r="Q261" i="1"/>
  <c r="R261" i="1" s="1"/>
  <c r="Q289" i="1"/>
  <c r="R289" i="1" s="1"/>
  <c r="Q286" i="1"/>
  <c r="R286" i="1" s="1"/>
  <c r="Q283" i="1"/>
  <c r="R283" i="1" s="1"/>
  <c r="Q274" i="1"/>
  <c r="R274" i="1" s="1"/>
  <c r="Q272" i="1"/>
  <c r="R272" i="1" s="1"/>
  <c r="Q266" i="1"/>
  <c r="R266" i="1" s="1"/>
  <c r="Q263" i="1"/>
  <c r="R263" i="1" s="1"/>
  <c r="CB22" i="1"/>
  <c r="CB21" i="1"/>
  <c r="CB15" i="1"/>
  <c r="CB14" i="1"/>
  <c r="A14" i="1"/>
  <c r="C14" i="1" s="1"/>
  <c r="O14" i="1" s="1"/>
  <c r="Q238" i="1"/>
  <c r="R238" i="1" s="1"/>
  <c r="Q242" i="1"/>
  <c r="R242" i="1" s="1"/>
  <c r="C21" i="1"/>
  <c r="A22" i="1"/>
  <c r="B145" i="1"/>
  <c r="B143" i="1"/>
  <c r="B146" i="1" s="1"/>
  <c r="B147" i="1" s="1"/>
  <c r="B148" i="1" s="1"/>
  <c r="B149" i="1" s="1"/>
  <c r="B150" i="1" s="1"/>
  <c r="B151" i="1" s="1"/>
  <c r="B152" i="1" s="1"/>
  <c r="B153" i="1" s="1"/>
  <c r="Q246" i="1"/>
  <c r="R246" i="1" s="1"/>
  <c r="Q257" i="1"/>
  <c r="R257" i="1" s="1"/>
  <c r="Q254" i="1"/>
  <c r="R254" i="1" s="1"/>
  <c r="Q250" i="1"/>
  <c r="R250" i="1" s="1"/>
  <c r="Q255" i="1"/>
  <c r="R255" i="1" s="1"/>
  <c r="Q248" i="1"/>
  <c r="R248" i="1" s="1"/>
  <c r="Q259" i="1"/>
  <c r="R259" i="1" s="1"/>
  <c r="Q252" i="1"/>
  <c r="R252" i="1" s="1"/>
  <c r="Q244" i="1"/>
  <c r="R244" i="1" s="1"/>
  <c r="Q240" i="1"/>
  <c r="R240" i="1" s="1"/>
  <c r="B639" i="1" l="1"/>
  <c r="C638" i="1"/>
  <c r="AQ38" i="1"/>
  <c r="AQ30" i="1"/>
  <c r="AQ32" i="1"/>
  <c r="R197" i="1"/>
  <c r="Q200" i="1"/>
  <c r="R199" i="1"/>
  <c r="AR11" i="1"/>
  <c r="AQ37" i="1"/>
  <c r="AQ42" i="1"/>
  <c r="AQ48" i="1"/>
  <c r="AQ39" i="1"/>
  <c r="AQ34" i="1"/>
  <c r="AQ35" i="1"/>
  <c r="AQ46" i="1"/>
  <c r="AQ47" i="1"/>
  <c r="AQ50" i="1"/>
  <c r="AQ43" i="1"/>
  <c r="AQ44" i="1"/>
  <c r="AQ51" i="1"/>
  <c r="AQ52" i="1"/>
  <c r="AQ49" i="1"/>
  <c r="AQ53" i="1"/>
  <c r="AQ54" i="1"/>
  <c r="AQ55" i="1" s="1"/>
  <c r="AQ97" i="1" s="1"/>
  <c r="AQ45" i="1"/>
  <c r="AQ40" i="1"/>
  <c r="A12" i="1"/>
  <c r="C12" i="1" s="1"/>
  <c r="AS12" i="1" s="1"/>
  <c r="AQ36" i="1"/>
  <c r="AQ31" i="1"/>
  <c r="AQ33" i="1"/>
  <c r="A15" i="1"/>
  <c r="C15" i="1" s="1"/>
  <c r="AS11" i="1"/>
  <c r="CB35" i="1"/>
  <c r="CB47" i="1"/>
  <c r="CB32" i="1"/>
  <c r="CB36" i="1"/>
  <c r="CB43" i="1"/>
  <c r="CB45" i="1"/>
  <c r="CB46" i="1"/>
  <c r="CB51" i="1"/>
  <c r="CB53" i="1"/>
  <c r="CB30" i="1"/>
  <c r="CB34" i="1"/>
  <c r="CB37" i="1"/>
  <c r="CB39" i="1"/>
  <c r="CB41" i="1"/>
  <c r="CB48" i="1"/>
  <c r="CB33" i="1"/>
  <c r="CB38" i="1"/>
  <c r="CB40" i="1"/>
  <c r="CB42" i="1"/>
  <c r="CB49" i="1"/>
  <c r="CB50" i="1"/>
  <c r="CB31" i="1"/>
  <c r="CB44" i="1"/>
  <c r="CB54" i="1"/>
  <c r="CB55" i="1" s="1"/>
  <c r="CC14" i="1"/>
  <c r="CD14" i="1"/>
  <c r="AS14" i="1"/>
  <c r="AR14" i="1"/>
  <c r="C22" i="1"/>
  <c r="A23" i="1"/>
  <c r="AR21" i="1"/>
  <c r="O21" i="1"/>
  <c r="AN21" i="1"/>
  <c r="AO21" i="1" s="1"/>
  <c r="CC21" i="1"/>
  <c r="CH21" i="1" s="1"/>
  <c r="AS21" i="1"/>
  <c r="CD21" i="1"/>
  <c r="C639" i="1" l="1"/>
  <c r="B640" i="1"/>
  <c r="AQ188" i="1"/>
  <c r="AQ184" i="1"/>
  <c r="AQ132" i="1"/>
  <c r="AQ114" i="1"/>
  <c r="AQ151" i="1"/>
  <c r="AQ176" i="1"/>
  <c r="AQ165" i="1"/>
  <c r="AR12" i="1"/>
  <c r="AQ270" i="1"/>
  <c r="AQ116" i="1"/>
  <c r="AQ144" i="1"/>
  <c r="CB486" i="1"/>
  <c r="CB485" i="1"/>
  <c r="CB484" i="1"/>
  <c r="CB488" i="1"/>
  <c r="CB487" i="1"/>
  <c r="AQ233" i="1"/>
  <c r="AQ182" i="1"/>
  <c r="AQ66" i="1"/>
  <c r="AQ175" i="1"/>
  <c r="AQ218" i="1"/>
  <c r="AQ272" i="1"/>
  <c r="AQ207" i="1"/>
  <c r="CB481" i="1"/>
  <c r="CB464" i="1"/>
  <c r="CB482" i="1"/>
  <c r="CB483" i="1"/>
  <c r="CB472" i="1"/>
  <c r="CB463" i="1"/>
  <c r="CB443" i="1"/>
  <c r="CB461" i="1"/>
  <c r="CB444" i="1"/>
  <c r="CB454" i="1"/>
  <c r="CB448" i="1"/>
  <c r="CB440" i="1"/>
  <c r="CB441" i="1"/>
  <c r="CB431" i="1"/>
  <c r="CB471" i="1"/>
  <c r="CB462" i="1"/>
  <c r="CB468" i="1"/>
  <c r="CB473" i="1"/>
  <c r="CB470" i="1"/>
  <c r="CB455" i="1"/>
  <c r="CB445" i="1"/>
  <c r="CB459" i="1"/>
  <c r="CB460" i="1"/>
  <c r="CB452" i="1"/>
  <c r="CB432" i="1"/>
  <c r="CB438" i="1"/>
  <c r="CB439" i="1"/>
  <c r="CB429" i="1"/>
  <c r="CB469" i="1"/>
  <c r="CB474" i="1"/>
  <c r="CB475" i="1"/>
  <c r="CB476" i="1"/>
  <c r="CB467" i="1"/>
  <c r="CB453" i="1"/>
  <c r="CB447" i="1"/>
  <c r="CB457" i="1"/>
  <c r="CB458" i="1"/>
  <c r="CB450" i="1"/>
  <c r="CB430" i="1"/>
  <c r="CB436" i="1"/>
  <c r="CB437" i="1"/>
  <c r="CB477" i="1"/>
  <c r="CB466" i="1"/>
  <c r="CB478" i="1"/>
  <c r="CB479" i="1"/>
  <c r="CB480" i="1"/>
  <c r="CB465" i="1"/>
  <c r="CB451" i="1"/>
  <c r="CB449" i="1"/>
  <c r="CB442" i="1"/>
  <c r="CB456" i="1"/>
  <c r="CB446" i="1"/>
  <c r="CB433" i="1"/>
  <c r="CB434" i="1"/>
  <c r="CB435" i="1"/>
  <c r="CB424" i="1"/>
  <c r="CB423" i="1"/>
  <c r="CB421" i="1"/>
  <c r="CB426" i="1"/>
  <c r="CB425" i="1"/>
  <c r="CB422" i="1"/>
  <c r="CB428" i="1"/>
  <c r="CB427" i="1"/>
  <c r="C13" i="1"/>
  <c r="AS13" i="1" s="1"/>
  <c r="CB415" i="1"/>
  <c r="CB418" i="1"/>
  <c r="CB414" i="1"/>
  <c r="CB416" i="1"/>
  <c r="CB417" i="1"/>
  <c r="CB420" i="1"/>
  <c r="CB419" i="1"/>
  <c r="AQ186" i="1"/>
  <c r="AQ77" i="1"/>
  <c r="AQ242" i="1"/>
  <c r="AQ135" i="1"/>
  <c r="AQ87" i="1"/>
  <c r="AQ246" i="1"/>
  <c r="AQ191" i="1"/>
  <c r="AQ162" i="1"/>
  <c r="AQ181" i="1"/>
  <c r="CB413" i="1"/>
  <c r="CB409" i="1"/>
  <c r="CB410" i="1"/>
  <c r="CB407" i="1"/>
  <c r="CB408" i="1"/>
  <c r="CB411" i="1"/>
  <c r="CB406" i="1"/>
  <c r="CB412" i="1"/>
  <c r="AQ238" i="1"/>
  <c r="AQ111" i="1"/>
  <c r="AQ234" i="1"/>
  <c r="AQ131" i="1"/>
  <c r="AQ158" i="1"/>
  <c r="AQ214" i="1"/>
  <c r="AQ224" i="1"/>
  <c r="AQ78" i="1"/>
  <c r="AQ170" i="1"/>
  <c r="CB404" i="1"/>
  <c r="CB396" i="1"/>
  <c r="CB393" i="1"/>
  <c r="CB405" i="1"/>
  <c r="CB397" i="1"/>
  <c r="CB395" i="1"/>
  <c r="CB402" i="1"/>
  <c r="CB400" i="1"/>
  <c r="CB398" i="1"/>
  <c r="CB403" i="1"/>
  <c r="CB401" i="1"/>
  <c r="CB399" i="1"/>
  <c r="CB394" i="1"/>
  <c r="R200" i="1"/>
  <c r="Q202" i="1"/>
  <c r="AQ197" i="1"/>
  <c r="AQ69" i="1"/>
  <c r="AQ205" i="1"/>
  <c r="AQ156" i="1"/>
  <c r="AQ96" i="1"/>
  <c r="AQ150" i="1"/>
  <c r="AQ76" i="1"/>
  <c r="AQ145" i="1"/>
  <c r="AQ88" i="1"/>
  <c r="AQ266" i="1"/>
  <c r="AQ256" i="1"/>
  <c r="AQ177" i="1"/>
  <c r="AQ226" i="1"/>
  <c r="AQ221" i="1"/>
  <c r="AQ124" i="1"/>
  <c r="AQ63" i="1"/>
  <c r="AQ104" i="1"/>
  <c r="AQ149" i="1"/>
  <c r="AQ92" i="1"/>
  <c r="AQ268" i="1"/>
  <c r="AQ258" i="1"/>
  <c r="AQ194" i="1"/>
  <c r="AQ59" i="1"/>
  <c r="AQ208" i="1"/>
  <c r="AQ200" i="1"/>
  <c r="AQ58" i="1"/>
  <c r="AQ219" i="1"/>
  <c r="AQ192" i="1"/>
  <c r="AQ164" i="1"/>
  <c r="AQ193" i="1"/>
  <c r="AQ125" i="1"/>
  <c r="AQ204" i="1"/>
  <c r="AQ236" i="1"/>
  <c r="AQ102" i="1"/>
  <c r="AQ57" i="1"/>
  <c r="CB389" i="1"/>
  <c r="CB366" i="1"/>
  <c r="CB381" i="1"/>
  <c r="CB390" i="1"/>
  <c r="CB377" i="1"/>
  <c r="CB375" i="1"/>
  <c r="CB382" i="1"/>
  <c r="CB387" i="1"/>
  <c r="CB378" i="1"/>
  <c r="CB384" i="1"/>
  <c r="CB370" i="1"/>
  <c r="CB385" i="1"/>
  <c r="CB383" i="1"/>
  <c r="CB386" i="1"/>
  <c r="CB368" i="1"/>
  <c r="CB360" i="1"/>
  <c r="CB364" i="1"/>
  <c r="CB379" i="1"/>
  <c r="CB380" i="1"/>
  <c r="CB388" i="1"/>
  <c r="CB365" i="1"/>
  <c r="CB367" i="1"/>
  <c r="CB363" i="1"/>
  <c r="CB372" i="1"/>
  <c r="CB376" i="1"/>
  <c r="CB374" i="1"/>
  <c r="CB362" i="1"/>
  <c r="CB392" i="1"/>
  <c r="CB369" i="1"/>
  <c r="CB373" i="1"/>
  <c r="CB371" i="1"/>
  <c r="CB391" i="1"/>
  <c r="CB359" i="1"/>
  <c r="CB361" i="1"/>
  <c r="AQ216" i="1"/>
  <c r="AQ185" i="1"/>
  <c r="AQ229" i="1"/>
  <c r="AQ91" i="1"/>
  <c r="AQ155" i="1"/>
  <c r="AQ128" i="1"/>
  <c r="AQ93" i="1"/>
  <c r="AQ73" i="1"/>
  <c r="AQ146" i="1"/>
  <c r="AQ107" i="1"/>
  <c r="AQ72" i="1"/>
  <c r="AQ154" i="1"/>
  <c r="AQ117" i="1"/>
  <c r="AQ94" i="1"/>
  <c r="AQ247" i="1"/>
  <c r="AQ252" i="1"/>
  <c r="AQ254" i="1"/>
  <c r="AQ239" i="1"/>
  <c r="AQ198" i="1"/>
  <c r="AQ230" i="1"/>
  <c r="AQ70" i="1"/>
  <c r="AQ152" i="1"/>
  <c r="AQ127" i="1"/>
  <c r="AQ90" i="1"/>
  <c r="AQ68" i="1"/>
  <c r="AQ140" i="1"/>
  <c r="AQ106" i="1"/>
  <c r="AQ71" i="1"/>
  <c r="AQ139" i="1"/>
  <c r="AQ110" i="1"/>
  <c r="AQ85" i="1"/>
  <c r="AQ275" i="1"/>
  <c r="AQ264" i="1"/>
  <c r="AQ267" i="1"/>
  <c r="AQ260" i="1"/>
  <c r="AQ187" i="1"/>
  <c r="AQ203" i="1"/>
  <c r="AQ169" i="1"/>
  <c r="AQ163" i="1"/>
  <c r="AQ141" i="1"/>
  <c r="AQ112" i="1"/>
  <c r="AQ82" i="1"/>
  <c r="AQ122" i="1"/>
  <c r="AQ89" i="1"/>
  <c r="AQ134" i="1"/>
  <c r="AQ103" i="1"/>
  <c r="AQ75" i="1"/>
  <c r="AQ274" i="1"/>
  <c r="AQ262" i="1"/>
  <c r="AQ265" i="1"/>
  <c r="AQ253" i="1"/>
  <c r="AQ251" i="1"/>
  <c r="AQ245" i="1"/>
  <c r="AQ243" i="1"/>
  <c r="AQ173" i="1"/>
  <c r="AQ174" i="1"/>
  <c r="AQ220" i="1"/>
  <c r="AQ148" i="1"/>
  <c r="AQ161" i="1"/>
  <c r="AQ137" i="1"/>
  <c r="AQ108" i="1"/>
  <c r="AQ81" i="1"/>
  <c r="AQ118" i="1"/>
  <c r="AQ84" i="1"/>
  <c r="AQ159" i="1"/>
  <c r="AQ121" i="1"/>
  <c r="AQ98" i="1"/>
  <c r="AQ269" i="1"/>
  <c r="AQ261" i="1"/>
  <c r="AQ250" i="1"/>
  <c r="AQ249" i="1"/>
  <c r="AQ244" i="1"/>
  <c r="AQ217" i="1"/>
  <c r="AQ180" i="1"/>
  <c r="AQ225" i="1"/>
  <c r="AQ147" i="1"/>
  <c r="AQ86" i="1"/>
  <c r="AQ126" i="1"/>
  <c r="AQ60" i="1"/>
  <c r="AQ123" i="1"/>
  <c r="AQ65" i="1"/>
  <c r="AQ255" i="1"/>
  <c r="AQ222" i="1"/>
  <c r="AQ74" i="1"/>
  <c r="AQ237" i="1"/>
  <c r="AQ157" i="1"/>
  <c r="AQ105" i="1"/>
  <c r="AQ160" i="1"/>
  <c r="AQ79" i="1"/>
  <c r="AQ130" i="1"/>
  <c r="AQ67" i="1"/>
  <c r="AQ259" i="1"/>
  <c r="AQ241" i="1"/>
  <c r="AQ183" i="1"/>
  <c r="AQ153" i="1"/>
  <c r="AQ232" i="1"/>
  <c r="AQ235" i="1"/>
  <c r="AQ171" i="1"/>
  <c r="AQ227" i="1"/>
  <c r="AQ209" i="1"/>
  <c r="AQ113" i="1"/>
  <c r="AQ212" i="1"/>
  <c r="AQ190" i="1"/>
  <c r="AQ210" i="1"/>
  <c r="AQ166" i="1"/>
  <c r="AQ101" i="1"/>
  <c r="AQ56" i="1"/>
  <c r="AQ201" i="1"/>
  <c r="AQ168" i="1"/>
  <c r="AQ179" i="1"/>
  <c r="AQ129" i="1"/>
  <c r="AQ172" i="1"/>
  <c r="AQ120" i="1"/>
  <c r="AQ119" i="1"/>
  <c r="AQ61" i="1"/>
  <c r="AQ95" i="1"/>
  <c r="AQ167" i="1"/>
  <c r="AQ99" i="1"/>
  <c r="AQ271" i="1"/>
  <c r="AQ257" i="1"/>
  <c r="AQ240" i="1"/>
  <c r="AQ109" i="1"/>
  <c r="AQ211" i="1"/>
  <c r="AQ202" i="1"/>
  <c r="AQ62" i="1"/>
  <c r="AQ136" i="1"/>
  <c r="AQ80" i="1"/>
  <c r="AQ115" i="1"/>
  <c r="AQ100" i="1"/>
  <c r="AQ273" i="1"/>
  <c r="AQ263" i="1"/>
  <c r="AQ248" i="1"/>
  <c r="AQ199" i="1"/>
  <c r="AQ213" i="1"/>
  <c r="AQ189" i="1"/>
  <c r="AQ195" i="1"/>
  <c r="AQ83" i="1"/>
  <c r="AQ206" i="1"/>
  <c r="AQ138" i="1"/>
  <c r="AQ228" i="1"/>
  <c r="AQ196" i="1"/>
  <c r="AQ231" i="1"/>
  <c r="AQ178" i="1"/>
  <c r="AQ215" i="1"/>
  <c r="AQ133" i="1"/>
  <c r="AQ64" i="1"/>
  <c r="AQ223" i="1"/>
  <c r="CB356" i="1"/>
  <c r="CB353" i="1"/>
  <c r="CB350" i="1"/>
  <c r="CB344" i="1"/>
  <c r="CB351" i="1"/>
  <c r="CB357" i="1"/>
  <c r="CB354" i="1"/>
  <c r="CB348" i="1"/>
  <c r="CB345" i="1"/>
  <c r="CB347" i="1"/>
  <c r="CB358" i="1"/>
  <c r="CB352" i="1"/>
  <c r="CB349" i="1"/>
  <c r="CB346" i="1"/>
  <c r="CB355" i="1"/>
  <c r="A16" i="1"/>
  <c r="C16" i="1" s="1"/>
  <c r="CB338" i="1"/>
  <c r="CB339" i="1"/>
  <c r="CB336" i="1"/>
  <c r="CB341" i="1"/>
  <c r="CB342" i="1"/>
  <c r="CB337" i="1"/>
  <c r="CB340" i="1"/>
  <c r="CB343" i="1"/>
  <c r="CB332" i="1"/>
  <c r="CB328" i="1"/>
  <c r="CB333" i="1"/>
  <c r="CB329" i="1"/>
  <c r="CB325" i="1"/>
  <c r="CB324" i="1"/>
  <c r="CB321" i="1"/>
  <c r="CB320" i="1"/>
  <c r="CB334" i="1"/>
  <c r="CB330" i="1"/>
  <c r="CB335" i="1"/>
  <c r="CB331" i="1"/>
  <c r="CB326" i="1"/>
  <c r="CB327" i="1"/>
  <c r="CB323" i="1"/>
  <c r="CB322" i="1"/>
  <c r="CB61" i="1"/>
  <c r="CB64" i="1"/>
  <c r="CB59" i="1"/>
  <c r="CB67" i="1"/>
  <c r="CB75" i="1"/>
  <c r="CB168" i="1"/>
  <c r="CB100" i="1"/>
  <c r="CB113" i="1"/>
  <c r="CB130" i="1"/>
  <c r="CB140" i="1"/>
  <c r="CB149" i="1"/>
  <c r="CB159" i="1"/>
  <c r="CB93" i="1"/>
  <c r="CB104" i="1"/>
  <c r="CB126" i="1"/>
  <c r="CB83" i="1"/>
  <c r="CB106" i="1"/>
  <c r="CB114" i="1"/>
  <c r="CB129" i="1"/>
  <c r="CB137" i="1"/>
  <c r="CB146" i="1"/>
  <c r="CB156" i="1"/>
  <c r="CB85" i="1"/>
  <c r="CB96" i="1"/>
  <c r="CB105" i="1"/>
  <c r="CB122" i="1"/>
  <c r="CB155" i="1"/>
  <c r="CB60" i="1"/>
  <c r="CB165" i="1"/>
  <c r="CB65" i="1"/>
  <c r="CB68" i="1"/>
  <c r="CB62" i="1"/>
  <c r="CB69" i="1"/>
  <c r="CB77" i="1"/>
  <c r="CB169" i="1"/>
  <c r="CB167" i="1"/>
  <c r="CB80" i="1"/>
  <c r="CB74" i="1"/>
  <c r="CB63" i="1"/>
  <c r="CB70" i="1"/>
  <c r="CB82" i="1"/>
  <c r="CB109" i="1"/>
  <c r="CB124" i="1"/>
  <c r="CB134" i="1"/>
  <c r="CB145" i="1"/>
  <c r="CB154" i="1"/>
  <c r="CB88" i="1"/>
  <c r="CB97" i="1"/>
  <c r="CB119" i="1"/>
  <c r="CB79" i="1"/>
  <c r="CB92" i="1"/>
  <c r="CB110" i="1"/>
  <c r="CB73" i="1"/>
  <c r="CB87" i="1"/>
  <c r="CB127" i="1"/>
  <c r="CB147" i="1"/>
  <c r="CB90" i="1"/>
  <c r="CB121" i="1"/>
  <c r="CB99" i="1"/>
  <c r="CB125" i="1"/>
  <c r="CB135" i="1"/>
  <c r="CB148" i="1"/>
  <c r="CB160" i="1"/>
  <c r="CB94" i="1"/>
  <c r="CB116" i="1"/>
  <c r="CB142" i="1"/>
  <c r="CB72" i="1"/>
  <c r="CB166" i="1"/>
  <c r="CB238" i="1"/>
  <c r="CB237" i="1"/>
  <c r="CB236" i="1"/>
  <c r="CB215" i="1"/>
  <c r="CB218" i="1"/>
  <c r="CB217" i="1"/>
  <c r="CB224" i="1"/>
  <c r="CB208" i="1"/>
  <c r="CB200" i="1"/>
  <c r="CB193" i="1"/>
  <c r="CB195" i="1"/>
  <c r="CB182" i="1"/>
  <c r="CB196" i="1"/>
  <c r="CB177" i="1"/>
  <c r="CB184" i="1"/>
  <c r="CB192" i="1"/>
  <c r="CB175" i="1"/>
  <c r="CB57" i="1"/>
  <c r="CB107" i="1"/>
  <c r="CB132" i="1"/>
  <c r="CB152" i="1"/>
  <c r="CB95" i="1"/>
  <c r="CB162" i="1"/>
  <c r="CB108" i="1"/>
  <c r="CB128" i="1"/>
  <c r="CB139" i="1"/>
  <c r="CB151" i="1"/>
  <c r="CB164" i="1"/>
  <c r="CB98" i="1"/>
  <c r="CB118" i="1"/>
  <c r="CB150" i="1"/>
  <c r="CB58" i="1"/>
  <c r="CB235" i="1"/>
  <c r="CB234" i="1"/>
  <c r="CB233" i="1"/>
  <c r="CB229" i="1"/>
  <c r="CB211" i="1"/>
  <c r="CB214" i="1"/>
  <c r="CB213" i="1"/>
  <c r="CB220" i="1"/>
  <c r="CB201" i="1"/>
  <c r="CB206" i="1"/>
  <c r="CB202" i="1"/>
  <c r="CB191" i="1"/>
  <c r="CB178" i="1"/>
  <c r="CB189" i="1"/>
  <c r="CB173" i="1"/>
  <c r="CB180" i="1"/>
  <c r="CB187" i="1"/>
  <c r="CB171" i="1"/>
  <c r="CB76" i="1"/>
  <c r="CB111" i="1"/>
  <c r="CB138" i="1"/>
  <c r="CB157" i="1"/>
  <c r="CB102" i="1"/>
  <c r="CB81" i="1"/>
  <c r="CB112" i="1"/>
  <c r="CB131" i="1"/>
  <c r="CB141" i="1"/>
  <c r="CB153" i="1"/>
  <c r="CB89" i="1"/>
  <c r="CB101" i="1"/>
  <c r="CB120" i="1"/>
  <c r="CB163" i="1"/>
  <c r="CB71" i="1"/>
  <c r="CB232" i="1"/>
  <c r="CB231" i="1"/>
  <c r="CB230" i="1"/>
  <c r="CB223" i="1"/>
  <c r="CB207" i="1"/>
  <c r="CB225" i="1"/>
  <c r="CB209" i="1"/>
  <c r="CB216" i="1"/>
  <c r="CB210" i="1"/>
  <c r="CB199" i="1"/>
  <c r="CB204" i="1"/>
  <c r="CB190" i="1"/>
  <c r="CB174" i="1"/>
  <c r="CB185" i="1"/>
  <c r="CB194" i="1"/>
  <c r="CB176" i="1"/>
  <c r="CB183" i="1"/>
  <c r="CB66" i="1"/>
  <c r="CB115" i="1"/>
  <c r="CB143" i="1"/>
  <c r="CB161" i="1"/>
  <c r="CB117" i="1"/>
  <c r="CB86" i="1"/>
  <c r="CB123" i="1"/>
  <c r="CB133" i="1"/>
  <c r="CB144" i="1"/>
  <c r="CB158" i="1"/>
  <c r="CB91" i="1"/>
  <c r="CB103" i="1"/>
  <c r="CB136" i="1"/>
  <c r="CB56" i="1"/>
  <c r="CB78" i="1"/>
  <c r="CB228" i="1"/>
  <c r="CB227" i="1"/>
  <c r="CB226" i="1"/>
  <c r="CB219" i="1"/>
  <c r="CB222" i="1"/>
  <c r="CB221" i="1"/>
  <c r="CB205" i="1"/>
  <c r="CB212" i="1"/>
  <c r="CB203" i="1"/>
  <c r="CB197" i="1"/>
  <c r="CB198" i="1"/>
  <c r="CB186" i="1"/>
  <c r="CB170" i="1"/>
  <c r="CB181" i="1"/>
  <c r="CB188" i="1"/>
  <c r="CB172" i="1"/>
  <c r="CB179" i="1"/>
  <c r="CB317" i="1"/>
  <c r="CB303" i="1"/>
  <c r="CB299" i="1"/>
  <c r="CB311" i="1"/>
  <c r="CB306" i="1"/>
  <c r="CB298" i="1"/>
  <c r="CB291" i="1"/>
  <c r="CB281" i="1"/>
  <c r="CB272" i="1"/>
  <c r="CB263" i="1"/>
  <c r="CB289" i="1"/>
  <c r="CB282" i="1"/>
  <c r="CB274" i="1"/>
  <c r="CB247" i="1"/>
  <c r="CB262" i="1"/>
  <c r="CB257" i="1"/>
  <c r="CB258" i="1"/>
  <c r="CB245" i="1"/>
  <c r="CB253" i="1"/>
  <c r="CB250" i="1"/>
  <c r="CB244" i="1"/>
  <c r="CB319" i="1"/>
  <c r="CB305" i="1"/>
  <c r="CB297" i="1"/>
  <c r="CB313" i="1"/>
  <c r="CB308" i="1"/>
  <c r="CB296" i="1"/>
  <c r="CB287" i="1"/>
  <c r="CB278" i="1"/>
  <c r="CB270" i="1"/>
  <c r="CB295" i="1"/>
  <c r="CB288" i="1"/>
  <c r="CB279" i="1"/>
  <c r="CB273" i="1"/>
  <c r="CB268" i="1"/>
  <c r="CB261" i="1"/>
  <c r="CB256" i="1"/>
  <c r="CB259" i="1"/>
  <c r="CB242" i="1"/>
  <c r="CB254" i="1"/>
  <c r="CB316" i="1"/>
  <c r="CB312" i="1"/>
  <c r="CB307" i="1"/>
  <c r="CB315" i="1"/>
  <c r="CB310" i="1"/>
  <c r="CB301" i="1"/>
  <c r="CB294" i="1"/>
  <c r="CB285" i="1"/>
  <c r="CB280" i="1"/>
  <c r="CB267" i="1"/>
  <c r="CB292" i="1"/>
  <c r="CB286" i="1"/>
  <c r="CB277" i="1"/>
  <c r="CB271" i="1"/>
  <c r="CB266" i="1"/>
  <c r="CB251" i="1"/>
  <c r="CB252" i="1"/>
  <c r="CB255" i="1"/>
  <c r="CB246" i="1"/>
  <c r="CB243" i="1"/>
  <c r="CB318" i="1"/>
  <c r="CB309" i="1"/>
  <c r="CB302" i="1"/>
  <c r="CB314" i="1"/>
  <c r="CB304" i="1"/>
  <c r="CB300" i="1"/>
  <c r="CB293" i="1"/>
  <c r="CB283" i="1"/>
  <c r="CB275" i="1"/>
  <c r="CB265" i="1"/>
  <c r="CB290" i="1"/>
  <c r="CB284" i="1"/>
  <c r="CB276" i="1"/>
  <c r="CB269" i="1"/>
  <c r="CB264" i="1"/>
  <c r="CB248" i="1"/>
  <c r="CB241" i="1"/>
  <c r="CB249" i="1"/>
  <c r="CB260" i="1"/>
  <c r="CB239" i="1"/>
  <c r="CB240" i="1"/>
  <c r="AW21" i="1"/>
  <c r="AT21" i="1"/>
  <c r="AV21" i="1"/>
  <c r="AS22" i="1"/>
  <c r="AR22" i="1"/>
  <c r="CC22" i="1"/>
  <c r="CH22" i="1" s="1"/>
  <c r="AN22" i="1"/>
  <c r="AO22" i="1" s="1"/>
  <c r="CD22" i="1"/>
  <c r="C17" i="1"/>
  <c r="AS15" i="1"/>
  <c r="CD15" i="1"/>
  <c r="CC15" i="1"/>
  <c r="AR15" i="1"/>
  <c r="O15" i="1"/>
  <c r="C23" i="1"/>
  <c r="A24" i="1"/>
  <c r="B641" i="1" l="1"/>
  <c r="C640" i="1"/>
  <c r="CC13" i="1"/>
  <c r="CD13" i="1" s="1"/>
  <c r="BF13" i="1"/>
  <c r="AR13" i="1"/>
  <c r="R202" i="1"/>
  <c r="Q204" i="1"/>
  <c r="C24" i="1"/>
  <c r="A25" i="1"/>
  <c r="BY23" i="1"/>
  <c r="AS23" i="1"/>
  <c r="AR23" i="1"/>
  <c r="AN23" i="1"/>
  <c r="O23" i="1"/>
  <c r="CC23" i="1"/>
  <c r="CD23" i="1"/>
  <c r="CD16" i="1"/>
  <c r="BF16" i="1"/>
  <c r="AS16" i="1"/>
  <c r="O16" i="1"/>
  <c r="AN16" i="1"/>
  <c r="AO16" i="1" s="1"/>
  <c r="AR16" i="1"/>
  <c r="CC16" i="1"/>
  <c r="AN17" i="1"/>
  <c r="O17" i="1"/>
  <c r="AS17" i="1"/>
  <c r="CD17" i="1"/>
  <c r="CC17" i="1"/>
  <c r="AR17" i="1"/>
  <c r="AT22" i="1"/>
  <c r="AW22" i="1"/>
  <c r="AV22" i="1"/>
  <c r="C641" i="1" l="1"/>
  <c r="B642" i="1"/>
  <c r="R204" i="1"/>
  <c r="Q206" i="1"/>
  <c r="AO23" i="1"/>
  <c r="AT23" i="1"/>
  <c r="AV23" i="1"/>
  <c r="AW23" i="1"/>
  <c r="CH23" i="1"/>
  <c r="CE23" i="1"/>
  <c r="A26" i="1"/>
  <c r="C25" i="1"/>
  <c r="AO17" i="1"/>
  <c r="AU23" i="1"/>
  <c r="BZ23" i="1"/>
  <c r="CC24" i="1"/>
  <c r="AS24" i="1"/>
  <c r="AN24" i="1"/>
  <c r="AO24" i="1" s="1"/>
  <c r="BY24" i="1"/>
  <c r="BZ24" i="1" s="1"/>
  <c r="O24" i="1"/>
  <c r="AR24" i="1"/>
  <c r="CD24" i="1"/>
  <c r="B643" i="1" l="1"/>
  <c r="C642" i="1"/>
  <c r="Q207" i="1"/>
  <c r="R206" i="1"/>
  <c r="CG24" i="1"/>
  <c r="CE24" i="1"/>
  <c r="CH24" i="1"/>
  <c r="AN25" i="1"/>
  <c r="AO25" i="1" s="1"/>
  <c r="CD25" i="1"/>
  <c r="CC25" i="1"/>
  <c r="AR25" i="1"/>
  <c r="AS25" i="1"/>
  <c r="BY25" i="1"/>
  <c r="BZ25" i="1" s="1"/>
  <c r="A27" i="1"/>
  <c r="C26" i="1"/>
  <c r="AV24" i="1"/>
  <c r="AT24" i="1"/>
  <c r="AW24" i="1"/>
  <c r="C643" i="1" l="1"/>
  <c r="B644" i="1"/>
  <c r="Q209" i="1"/>
  <c r="R207" i="1"/>
  <c r="A28" i="1"/>
  <c r="C27" i="1"/>
  <c r="CG25" i="1"/>
  <c r="CH25" i="1"/>
  <c r="CE25" i="1"/>
  <c r="CC26" i="1"/>
  <c r="AR26" i="1"/>
  <c r="AN26" i="1"/>
  <c r="BY26" i="1"/>
  <c r="BZ26" i="1" s="1"/>
  <c r="CD26" i="1"/>
  <c r="AS26" i="1"/>
  <c r="AW25" i="1"/>
  <c r="AT25" i="1"/>
  <c r="AV25" i="1"/>
  <c r="B645" i="1" l="1"/>
  <c r="C644" i="1"/>
  <c r="Q211" i="1"/>
  <c r="R209" i="1"/>
  <c r="AO26" i="1"/>
  <c r="AV26" i="1"/>
  <c r="AW26" i="1"/>
  <c r="AT26" i="1"/>
  <c r="BY27" i="1"/>
  <c r="BZ27" i="1" s="1"/>
  <c r="AS27" i="1"/>
  <c r="AN27" i="1"/>
  <c r="AO27" i="1" s="1"/>
  <c r="AR27" i="1"/>
  <c r="CE26" i="1"/>
  <c r="CH26" i="1"/>
  <c r="CG26" i="1"/>
  <c r="A29" i="1"/>
  <c r="C28" i="1"/>
  <c r="C645" i="1" l="1"/>
  <c r="B646" i="1"/>
  <c r="R211" i="1"/>
  <c r="AV27" i="1"/>
  <c r="AT27" i="1"/>
  <c r="AW27" i="1"/>
  <c r="AN28" i="1"/>
  <c r="AR28" i="1"/>
  <c r="AS28" i="1"/>
  <c r="CC28" i="1"/>
  <c r="CD28" i="1"/>
  <c r="BY28" i="1"/>
  <c r="BZ28" i="1" s="1"/>
  <c r="C29" i="1"/>
  <c r="A30" i="1"/>
  <c r="B647" i="1" l="1"/>
  <c r="C646" i="1"/>
  <c r="CF28" i="1"/>
  <c r="AO28" i="1"/>
  <c r="AU28" i="1"/>
  <c r="CG28" i="1"/>
  <c r="CE28" i="1"/>
  <c r="CH28" i="1"/>
  <c r="A31" i="1"/>
  <c r="C30" i="1"/>
  <c r="O29" i="1"/>
  <c r="BY29" i="1"/>
  <c r="BZ29" i="1" s="1"/>
  <c r="CC29" i="1"/>
  <c r="AR29" i="1"/>
  <c r="AS29" i="1"/>
  <c r="AN29" i="1"/>
  <c r="AO29" i="1" s="1"/>
  <c r="CD29" i="1"/>
  <c r="AV28" i="1"/>
  <c r="AT28" i="1"/>
  <c r="AW28" i="1"/>
  <c r="C647" i="1" l="1"/>
  <c r="B648" i="1"/>
  <c r="AW29" i="1"/>
  <c r="AT29" i="1"/>
  <c r="AV29" i="1"/>
  <c r="CD30" i="1"/>
  <c r="AN30" i="1"/>
  <c r="AO30" i="1" s="1"/>
  <c r="AR30" i="1"/>
  <c r="AS30" i="1"/>
  <c r="CC30" i="1"/>
  <c r="CH30" i="1" s="1"/>
  <c r="O30" i="1"/>
  <c r="CE29" i="1"/>
  <c r="CH29" i="1"/>
  <c r="CG29" i="1"/>
  <c r="A32" i="1"/>
  <c r="C31" i="1"/>
  <c r="B649" i="1" l="1"/>
  <c r="C648" i="1"/>
  <c r="AN31" i="1"/>
  <c r="O31" i="1"/>
  <c r="CC31" i="1"/>
  <c r="CH31" i="1" s="1"/>
  <c r="AR31" i="1"/>
  <c r="AS31" i="1"/>
  <c r="CD31" i="1"/>
  <c r="AT30" i="1"/>
  <c r="AW30" i="1"/>
  <c r="AV30" i="1"/>
  <c r="C32" i="1"/>
  <c r="A33" i="1"/>
  <c r="C649" i="1" l="1"/>
  <c r="B650" i="1"/>
  <c r="O32" i="1"/>
  <c r="CD32" i="1"/>
  <c r="AS32" i="1"/>
  <c r="AR32" i="1"/>
  <c r="CC32" i="1"/>
  <c r="CH32" i="1" s="1"/>
  <c r="AN32" i="1"/>
  <c r="AT31" i="1"/>
  <c r="AW31" i="1"/>
  <c r="AV31" i="1"/>
  <c r="A34" i="1"/>
  <c r="C33" i="1"/>
  <c r="AO31" i="1"/>
  <c r="B651" i="1" l="1"/>
  <c r="C650" i="1"/>
  <c r="AR33" i="1"/>
  <c r="AS33" i="1"/>
  <c r="AN33" i="1"/>
  <c r="AO33" i="1" s="1"/>
  <c r="CD33" i="1"/>
  <c r="CC33" i="1"/>
  <c r="CH33" i="1" s="1"/>
  <c r="A35" i="1"/>
  <c r="C34" i="1"/>
  <c r="AT32" i="1"/>
  <c r="AV32" i="1"/>
  <c r="AW32" i="1"/>
  <c r="AO32" i="1"/>
  <c r="C651" i="1" l="1"/>
  <c r="B652" i="1"/>
  <c r="AR34" i="1"/>
  <c r="CD34" i="1"/>
  <c r="AS34" i="1"/>
  <c r="CC34" i="1"/>
  <c r="CH34" i="1" s="1"/>
  <c r="AN34" i="1"/>
  <c r="AW33" i="1"/>
  <c r="AT33" i="1"/>
  <c r="AV33" i="1"/>
  <c r="C35" i="1"/>
  <c r="A36" i="1"/>
  <c r="B653" i="1" l="1"/>
  <c r="C652" i="1"/>
  <c r="C36" i="1"/>
  <c r="A37" i="1"/>
  <c r="AS35" i="1"/>
  <c r="O35" i="1"/>
  <c r="AR35" i="1"/>
  <c r="AN35" i="1"/>
  <c r="CD35" i="1"/>
  <c r="CC35" i="1"/>
  <c r="CH35" i="1" s="1"/>
  <c r="AO34" i="1"/>
  <c r="AU35" i="1"/>
  <c r="AV34" i="1"/>
  <c r="AW34" i="1"/>
  <c r="AT34" i="1"/>
  <c r="C653" i="1" l="1"/>
  <c r="B654" i="1"/>
  <c r="AO35" i="1"/>
  <c r="C37" i="1"/>
  <c r="A38" i="1"/>
  <c r="AV35" i="1"/>
  <c r="AW35" i="1"/>
  <c r="AT35" i="1"/>
  <c r="AR36" i="1"/>
  <c r="AS36" i="1"/>
  <c r="O36" i="1"/>
  <c r="AN36" i="1"/>
  <c r="AO36" i="1" s="1"/>
  <c r="CD36" i="1"/>
  <c r="CC36" i="1"/>
  <c r="CH36" i="1" s="1"/>
  <c r="BY36" i="1"/>
  <c r="B655" i="1" l="1"/>
  <c r="C654" i="1"/>
  <c r="BY37" i="1"/>
  <c r="CC37" i="1"/>
  <c r="AN37" i="1"/>
  <c r="CD37" i="1"/>
  <c r="AR37" i="1"/>
  <c r="AS37" i="1"/>
  <c r="AT36" i="1"/>
  <c r="AV36" i="1"/>
  <c r="AW36" i="1"/>
  <c r="BZ36" i="1"/>
  <c r="A39" i="1"/>
  <c r="C38" i="1"/>
  <c r="C655" i="1" l="1"/>
  <c r="B656" i="1"/>
  <c r="BZ37" i="1"/>
  <c r="A40" i="1"/>
  <c r="C39" i="1"/>
  <c r="AO37" i="1"/>
  <c r="CG37" i="1"/>
  <c r="CH37" i="1"/>
  <c r="CE37" i="1"/>
  <c r="AV37" i="1"/>
  <c r="AW37" i="1"/>
  <c r="AT37" i="1"/>
  <c r="CD38" i="1"/>
  <c r="BY38" i="1"/>
  <c r="AN38" i="1"/>
  <c r="O38" i="1"/>
  <c r="CC38" i="1"/>
  <c r="CH38" i="1" s="1"/>
  <c r="AR38" i="1"/>
  <c r="AS38" i="1"/>
  <c r="B657" i="1" l="1"/>
  <c r="C656" i="1"/>
  <c r="AO38" i="1"/>
  <c r="AW38" i="1"/>
  <c r="AV38" i="1"/>
  <c r="AT38" i="1"/>
  <c r="AR39" i="1"/>
  <c r="AS39" i="1"/>
  <c r="AN39" i="1"/>
  <c r="CD39" i="1"/>
  <c r="O39" i="1"/>
  <c r="BY39" i="1"/>
  <c r="CC39" i="1"/>
  <c r="A41" i="1"/>
  <c r="C40" i="1"/>
  <c r="BZ38" i="1"/>
  <c r="C657" i="1" l="1"/>
  <c r="B658" i="1"/>
  <c r="CE39" i="1"/>
  <c r="CH39" i="1"/>
  <c r="CG39" i="1"/>
  <c r="BZ39" i="1"/>
  <c r="AV39" i="1"/>
  <c r="AT39" i="1"/>
  <c r="AW39" i="1"/>
  <c r="AR40" i="1"/>
  <c r="AS40" i="1"/>
  <c r="BY40" i="1"/>
  <c r="CC40" i="1"/>
  <c r="CD40" i="1"/>
  <c r="AN40" i="1"/>
  <c r="O40" i="1"/>
  <c r="A42" i="1"/>
  <c r="C41" i="1"/>
  <c r="AO39" i="1"/>
  <c r="B659" i="1" l="1"/>
  <c r="C658" i="1"/>
  <c r="BZ40" i="1"/>
  <c r="AR41" i="1"/>
  <c r="CD41" i="1"/>
  <c r="O41" i="1"/>
  <c r="AN41" i="1"/>
  <c r="CC41" i="1"/>
  <c r="AS41" i="1"/>
  <c r="BY41" i="1"/>
  <c r="BZ41" i="1" s="1"/>
  <c r="AV40" i="1"/>
  <c r="AW40" i="1"/>
  <c r="AT40" i="1"/>
  <c r="C42" i="1"/>
  <c r="A43" i="1"/>
  <c r="CG40" i="1"/>
  <c r="CH40" i="1"/>
  <c r="CE40" i="1"/>
  <c r="AO40" i="1"/>
  <c r="C659" i="1" l="1"/>
  <c r="B660" i="1"/>
  <c r="AS42" i="1"/>
  <c r="BY42" i="1"/>
  <c r="CD42" i="1"/>
  <c r="AR42" i="1"/>
  <c r="AN42" i="1"/>
  <c r="CC42" i="1"/>
  <c r="A44" i="1"/>
  <c r="C43" i="1"/>
  <c r="AO41" i="1"/>
  <c r="CH41" i="1"/>
  <c r="CE41" i="1"/>
  <c r="CG41" i="1"/>
  <c r="AV41" i="1"/>
  <c r="AW41" i="1"/>
  <c r="AT41" i="1"/>
  <c r="B661" i="1" l="1"/>
  <c r="C660" i="1"/>
  <c r="C44" i="1"/>
  <c r="A45" i="1"/>
  <c r="CH42" i="1"/>
  <c r="CE42" i="1"/>
  <c r="CG42" i="1"/>
  <c r="BZ42" i="1"/>
  <c r="O43" i="1"/>
  <c r="CC43" i="1"/>
  <c r="AR43" i="1"/>
  <c r="CD43" i="1"/>
  <c r="AS43" i="1"/>
  <c r="AN43" i="1"/>
  <c r="BY43" i="1"/>
  <c r="AO42" i="1"/>
  <c r="AW42" i="1"/>
  <c r="AT42" i="1"/>
  <c r="AV42" i="1"/>
  <c r="C661" i="1" l="1"/>
  <c r="B662" i="1"/>
  <c r="AO43" i="1"/>
  <c r="AU43" i="1"/>
  <c r="BZ43" i="1"/>
  <c r="AW43" i="1"/>
  <c r="AV43" i="1"/>
  <c r="AT43" i="1"/>
  <c r="CF43" i="1"/>
  <c r="CH43" i="1"/>
  <c r="CG43" i="1"/>
  <c r="CE43" i="1"/>
  <c r="C45" i="1"/>
  <c r="A46" i="1"/>
  <c r="AR44" i="1"/>
  <c r="CC44" i="1"/>
  <c r="CD44" i="1"/>
  <c r="BY44" i="1"/>
  <c r="BZ44" i="1" s="1"/>
  <c r="O44" i="1"/>
  <c r="AN44" i="1"/>
  <c r="AS44" i="1"/>
  <c r="B663" i="1" l="1"/>
  <c r="C662" i="1"/>
  <c r="AO44" i="1"/>
  <c r="CG44" i="1"/>
  <c r="CE44" i="1"/>
  <c r="CH44" i="1"/>
  <c r="AV44" i="1"/>
  <c r="AT44" i="1"/>
  <c r="AW44" i="1"/>
  <c r="A47" i="1"/>
  <c r="C46" i="1"/>
  <c r="CC45" i="1"/>
  <c r="AR45" i="1"/>
  <c r="AS45" i="1"/>
  <c r="CD45" i="1"/>
  <c r="AN45" i="1"/>
  <c r="AO45" i="1" s="1"/>
  <c r="BY45" i="1"/>
  <c r="BZ45" i="1" s="1"/>
  <c r="C663" i="1" l="1"/>
  <c r="B664" i="1"/>
  <c r="CE45" i="1"/>
  <c r="CG45" i="1"/>
  <c r="CH45" i="1"/>
  <c r="A48" i="1"/>
  <c r="C47" i="1"/>
  <c r="AW45" i="1"/>
  <c r="AT45" i="1"/>
  <c r="AV45" i="1"/>
  <c r="AR46" i="1"/>
  <c r="CD46" i="1"/>
  <c r="BY46" i="1"/>
  <c r="AN46" i="1"/>
  <c r="CC46" i="1"/>
  <c r="AS46" i="1"/>
  <c r="O46" i="1"/>
  <c r="B665" i="1" l="1"/>
  <c r="C664" i="1"/>
  <c r="BZ46" i="1"/>
  <c r="CF46" i="1"/>
  <c r="CG46" i="1"/>
  <c r="CE46" i="1"/>
  <c r="CH46" i="1"/>
  <c r="AW46" i="1"/>
  <c r="AT46" i="1"/>
  <c r="AV46" i="1"/>
  <c r="CC47" i="1"/>
  <c r="BY47" i="1"/>
  <c r="BZ47" i="1" s="1"/>
  <c r="AN47" i="1"/>
  <c r="AO47" i="1" s="1"/>
  <c r="AS47" i="1"/>
  <c r="CD47" i="1"/>
  <c r="AR47" i="1"/>
  <c r="AO46" i="1"/>
  <c r="AU46" i="1"/>
  <c r="C48" i="1"/>
  <c r="A49" i="1"/>
  <c r="C665" i="1" l="1"/>
  <c r="B666" i="1"/>
  <c r="A50" i="1"/>
  <c r="C49" i="1"/>
  <c r="AW47" i="1"/>
  <c r="AV47" i="1"/>
  <c r="AT47" i="1"/>
  <c r="CG47" i="1"/>
  <c r="CE47" i="1"/>
  <c r="CH47" i="1"/>
  <c r="BY48" i="1"/>
  <c r="AR48" i="1"/>
  <c r="CC48" i="1"/>
  <c r="AS48" i="1"/>
  <c r="CD48" i="1"/>
  <c r="AN48" i="1"/>
  <c r="AO48" i="1" s="1"/>
  <c r="O48" i="1"/>
  <c r="C666" i="1" l="1"/>
  <c r="B667" i="1"/>
  <c r="AW48" i="1"/>
  <c r="AV48" i="1"/>
  <c r="AT48" i="1"/>
  <c r="CH48" i="1"/>
  <c r="CE48" i="1"/>
  <c r="CG48" i="1"/>
  <c r="CC49" i="1"/>
  <c r="AS49" i="1"/>
  <c r="CD49" i="1"/>
  <c r="AR49" i="1"/>
  <c r="BY49" i="1"/>
  <c r="BZ49" i="1" s="1"/>
  <c r="AN49" i="1"/>
  <c r="AO49" i="1" s="1"/>
  <c r="BZ48" i="1"/>
  <c r="A51" i="1"/>
  <c r="C50" i="1"/>
  <c r="C667" i="1" l="1"/>
  <c r="B668" i="1"/>
  <c r="A52" i="1"/>
  <c r="C51" i="1"/>
  <c r="CG49" i="1"/>
  <c r="CE49" i="1"/>
  <c r="CH49" i="1"/>
  <c r="O50" i="1"/>
  <c r="AN50" i="1"/>
  <c r="CD50" i="1"/>
  <c r="CC50" i="1"/>
  <c r="AS50" i="1"/>
  <c r="BY50" i="1"/>
  <c r="AR50" i="1"/>
  <c r="AV49" i="1"/>
  <c r="AW49" i="1"/>
  <c r="AT49" i="1"/>
  <c r="C668" i="1" l="1"/>
  <c r="B669" i="1"/>
  <c r="C669" i="1" s="1"/>
  <c r="CE50" i="1"/>
  <c r="CH50" i="1"/>
  <c r="CG50" i="1"/>
  <c r="BZ50" i="1"/>
  <c r="CF50" i="1"/>
  <c r="AO50" i="1"/>
  <c r="AU50" i="1"/>
  <c r="CD51" i="1"/>
  <c r="AS51" i="1"/>
  <c r="BY51" i="1"/>
  <c r="O51" i="1"/>
  <c r="CC51" i="1"/>
  <c r="AR51" i="1"/>
  <c r="AN51" i="1"/>
  <c r="C52" i="1"/>
  <c r="A53" i="1"/>
  <c r="AT50" i="1"/>
  <c r="AV50" i="1"/>
  <c r="AW50" i="1"/>
  <c r="AO51" i="1" l="1"/>
  <c r="AU51" i="1"/>
  <c r="BZ51" i="1"/>
  <c r="CF51" i="1"/>
  <c r="A54" i="1"/>
  <c r="C53" i="1"/>
  <c r="AV51" i="1"/>
  <c r="AW51" i="1"/>
  <c r="AT51" i="1"/>
  <c r="CH51" i="1"/>
  <c r="CE51" i="1"/>
  <c r="CG51" i="1"/>
  <c r="AN52" i="1"/>
  <c r="AO52" i="1" s="1"/>
  <c r="CD52" i="1"/>
  <c r="AR52" i="1"/>
  <c r="CC52" i="1"/>
  <c r="BY52" i="1"/>
  <c r="AS52" i="1"/>
  <c r="CE52" i="1" l="1"/>
  <c r="CH52" i="1"/>
  <c r="CG52" i="1"/>
  <c r="BZ52" i="1"/>
  <c r="C54" i="1"/>
  <c r="A55" i="1"/>
  <c r="AT52" i="1"/>
  <c r="AV52" i="1"/>
  <c r="AW52" i="1"/>
  <c r="CC53" i="1"/>
  <c r="AN53" i="1"/>
  <c r="AO53" i="1" s="1"/>
  <c r="CD53" i="1"/>
  <c r="AS53" i="1"/>
  <c r="BY53" i="1"/>
  <c r="BZ53" i="1" s="1"/>
  <c r="AR53" i="1"/>
  <c r="AS54" i="1" l="1"/>
  <c r="CC54" i="1"/>
  <c r="CD54" i="1"/>
  <c r="AR54" i="1"/>
  <c r="BY54" i="1"/>
  <c r="AN54" i="1"/>
  <c r="AT53" i="1"/>
  <c r="AV53" i="1"/>
  <c r="AW53" i="1"/>
  <c r="CE53" i="1"/>
  <c r="CG53" i="1"/>
  <c r="CH53" i="1"/>
  <c r="C55" i="1"/>
  <c r="AR55" i="1" s="1"/>
  <c r="A56" i="1"/>
  <c r="A57" i="1" l="1"/>
  <c r="C56" i="1"/>
  <c r="AR56" i="1" s="1"/>
  <c r="AO54" i="1"/>
  <c r="CG54" i="1"/>
  <c r="CH54" i="1"/>
  <c r="CE54" i="1"/>
  <c r="BZ54" i="1"/>
  <c r="AW54" i="1"/>
  <c r="AT54" i="1"/>
  <c r="AV54" i="1"/>
  <c r="AW56" i="1" l="1"/>
  <c r="CF56" i="1"/>
  <c r="C57" i="1"/>
  <c r="A58" i="1"/>
  <c r="C58" i="1" l="1"/>
  <c r="A59" i="1"/>
  <c r="AR57" i="1"/>
  <c r="AS57" i="1"/>
  <c r="AN57" i="1"/>
  <c r="O57" i="1"/>
  <c r="CD57" i="1"/>
  <c r="BY57" i="1"/>
  <c r="CC57" i="1"/>
  <c r="AT57" i="1" l="1"/>
  <c r="AW57" i="1"/>
  <c r="AV57" i="1"/>
  <c r="C59" i="1"/>
  <c r="A60" i="1"/>
  <c r="BZ57" i="1"/>
  <c r="CF57" i="1"/>
  <c r="CH57" i="1"/>
  <c r="CG57" i="1"/>
  <c r="CE57" i="1"/>
  <c r="AO57" i="1"/>
  <c r="AU57" i="1"/>
  <c r="AR58" i="1"/>
  <c r="O58" i="1"/>
  <c r="CD58" i="1"/>
  <c r="AS58" i="1"/>
  <c r="BY58" i="1"/>
  <c r="BZ58" i="1" s="1"/>
  <c r="AN58" i="1"/>
  <c r="AO58" i="1" s="1"/>
  <c r="AV58" i="1" l="1"/>
  <c r="AW58" i="1"/>
  <c r="AT58" i="1"/>
  <c r="C60" i="1"/>
  <c r="A61" i="1"/>
  <c r="BY59" i="1"/>
  <c r="BZ59" i="1" s="1"/>
  <c r="AR59" i="1"/>
  <c r="O59" i="1"/>
  <c r="CD59" i="1"/>
  <c r="AN59" i="1"/>
  <c r="AS59" i="1"/>
  <c r="AO59" i="1" l="1"/>
  <c r="C61" i="1"/>
  <c r="A62" i="1"/>
  <c r="CD60" i="1"/>
  <c r="AN60" i="1"/>
  <c r="O60" i="1"/>
  <c r="CC60" i="1"/>
  <c r="AS60" i="1"/>
  <c r="BY60" i="1"/>
  <c r="AR60" i="1"/>
  <c r="AW59" i="1"/>
  <c r="AV59" i="1"/>
  <c r="AT59" i="1"/>
  <c r="BZ60" i="1" l="1"/>
  <c r="AO60" i="1"/>
  <c r="AN61" i="1"/>
  <c r="AO61" i="1" s="1"/>
  <c r="AR61" i="1"/>
  <c r="BY61" i="1"/>
  <c r="BZ61" i="1" s="1"/>
  <c r="AS61" i="1"/>
  <c r="CD61" i="1"/>
  <c r="O61" i="1"/>
  <c r="CC61" i="1"/>
  <c r="CE60" i="1"/>
  <c r="CH60" i="1"/>
  <c r="CG60" i="1"/>
  <c r="AT60" i="1"/>
  <c r="AV60" i="1"/>
  <c r="AW60" i="1"/>
  <c r="A63" i="1"/>
  <c r="C62" i="1"/>
  <c r="C63" i="1" l="1"/>
  <c r="A64" i="1"/>
  <c r="CG61" i="1"/>
  <c r="CE61" i="1"/>
  <c r="CH61" i="1"/>
  <c r="AW61" i="1"/>
  <c r="AV61" i="1"/>
  <c r="AT61" i="1"/>
  <c r="O62" i="1"/>
  <c r="CD62" i="1"/>
  <c r="BY62" i="1"/>
  <c r="AS62" i="1"/>
  <c r="AR62" i="1"/>
  <c r="AN62" i="1"/>
  <c r="AO62" i="1" s="1"/>
  <c r="CC62" i="1"/>
  <c r="AW62" i="1" l="1"/>
  <c r="AT62" i="1"/>
  <c r="AV62" i="1"/>
  <c r="CG62" i="1"/>
  <c r="CH62" i="1"/>
  <c r="CE62" i="1"/>
  <c r="BZ62" i="1"/>
  <c r="A65" i="1"/>
  <c r="C64" i="1"/>
  <c r="CD63" i="1"/>
  <c r="O63" i="1"/>
  <c r="AN63" i="1"/>
  <c r="BY63" i="1"/>
  <c r="CC63" i="1"/>
  <c r="AS63" i="1"/>
  <c r="AR63" i="1"/>
  <c r="AO63" i="1" l="1"/>
  <c r="AU63" i="1"/>
  <c r="A66" i="1"/>
  <c r="C65" i="1"/>
  <c r="CH63" i="1"/>
  <c r="CE63" i="1"/>
  <c r="CG63" i="1"/>
  <c r="BZ63" i="1"/>
  <c r="CF63" i="1"/>
  <c r="BY64" i="1"/>
  <c r="BZ64" i="1" s="1"/>
  <c r="AR64" i="1"/>
  <c r="AN64" i="1"/>
  <c r="AO64" i="1" s="1"/>
  <c r="O64" i="1"/>
  <c r="AS64" i="1"/>
  <c r="CD64" i="1"/>
  <c r="CC64" i="1"/>
  <c r="AT63" i="1"/>
  <c r="AW63" i="1"/>
  <c r="AV63" i="1"/>
  <c r="CG64" i="1" l="1"/>
  <c r="CE64" i="1"/>
  <c r="CH64" i="1"/>
  <c r="AV64" i="1"/>
  <c r="AT64" i="1"/>
  <c r="AW64" i="1"/>
  <c r="AN65" i="1"/>
  <c r="AO65" i="1" s="1"/>
  <c r="BY65" i="1"/>
  <c r="BZ65" i="1" s="1"/>
  <c r="CD65" i="1"/>
  <c r="AR65" i="1"/>
  <c r="CC65" i="1"/>
  <c r="AS65" i="1"/>
  <c r="A67" i="1"/>
  <c r="C66" i="1"/>
  <c r="CH65" i="1" l="1"/>
  <c r="CG65" i="1"/>
  <c r="CE65" i="1"/>
  <c r="CD66" i="1"/>
  <c r="BY66" i="1"/>
  <c r="BZ66" i="1" s="1"/>
  <c r="AS66" i="1"/>
  <c r="CC66" i="1"/>
  <c r="AN66" i="1"/>
  <c r="AO66" i="1" s="1"/>
  <c r="AR66" i="1"/>
  <c r="C67" i="1"/>
  <c r="A68" i="1"/>
  <c r="AT65" i="1"/>
  <c r="AV65" i="1"/>
  <c r="AW65" i="1"/>
  <c r="C68" i="1" l="1"/>
  <c r="A69" i="1"/>
  <c r="CE66" i="1"/>
  <c r="CG66" i="1"/>
  <c r="CH66" i="1"/>
  <c r="CD67" i="1"/>
  <c r="O67" i="1"/>
  <c r="AR67" i="1"/>
  <c r="CC67" i="1"/>
  <c r="AN67" i="1"/>
  <c r="BY67" i="1"/>
  <c r="AS67" i="1"/>
  <c r="AW66" i="1"/>
  <c r="AV66" i="1"/>
  <c r="AT66" i="1"/>
  <c r="BZ67" i="1" l="1"/>
  <c r="CF67" i="1"/>
  <c r="AO67" i="1"/>
  <c r="AU67" i="1"/>
  <c r="A70" i="1"/>
  <c r="C69" i="1"/>
  <c r="CG67" i="1"/>
  <c r="CE67" i="1"/>
  <c r="CH67" i="1"/>
  <c r="AR68" i="1"/>
  <c r="AS68" i="1"/>
  <c r="CD68" i="1"/>
  <c r="CC68" i="1"/>
  <c r="AN68" i="1"/>
  <c r="AO68" i="1" s="1"/>
  <c r="BY68" i="1"/>
  <c r="BZ68" i="1" s="1"/>
  <c r="AV67" i="1"/>
  <c r="AT67" i="1"/>
  <c r="AW67" i="1"/>
  <c r="AT68" i="1" l="1"/>
  <c r="AV68" i="1"/>
  <c r="AW68" i="1"/>
  <c r="AS69" i="1"/>
  <c r="CC69" i="1"/>
  <c r="AN69" i="1"/>
  <c r="AO69" i="1" s="1"/>
  <c r="AR69" i="1"/>
  <c r="CD69" i="1"/>
  <c r="BY69" i="1"/>
  <c r="BZ69" i="1" s="1"/>
  <c r="CH68" i="1"/>
  <c r="CG68" i="1"/>
  <c r="CE68" i="1"/>
  <c r="C70" i="1"/>
  <c r="A71" i="1"/>
  <c r="AV69" i="1" l="1"/>
  <c r="AW69" i="1"/>
  <c r="AT69" i="1"/>
  <c r="A72" i="1"/>
  <c r="C71" i="1"/>
  <c r="AR70" i="1"/>
  <c r="BY70" i="1"/>
  <c r="CD70" i="1"/>
  <c r="AN70" i="1"/>
  <c r="AS70" i="1"/>
  <c r="O70" i="1"/>
  <c r="CC70" i="1"/>
  <c r="CH69" i="1"/>
  <c r="CE69" i="1"/>
  <c r="CG69" i="1"/>
  <c r="AO70" i="1" l="1"/>
  <c r="AU70" i="1"/>
  <c r="BZ70" i="1"/>
  <c r="CF70" i="1"/>
  <c r="C72" i="1"/>
  <c r="A73" i="1"/>
  <c r="AW70" i="1"/>
  <c r="AT70" i="1"/>
  <c r="AV70" i="1"/>
  <c r="BY71" i="1"/>
  <c r="CD71" i="1"/>
  <c r="AS71" i="1"/>
  <c r="CC71" i="1"/>
  <c r="AR71" i="1"/>
  <c r="AN71" i="1"/>
  <c r="CE70" i="1"/>
  <c r="CG70" i="1"/>
  <c r="CH70" i="1"/>
  <c r="BZ71" i="1" l="1"/>
  <c r="CF71" i="1"/>
  <c r="AO71" i="1"/>
  <c r="AU71" i="1"/>
  <c r="AV71" i="1"/>
  <c r="AW71" i="1"/>
  <c r="AT71" i="1"/>
  <c r="C73" i="1"/>
  <c r="A74" i="1"/>
  <c r="CG71" i="1"/>
  <c r="CH71" i="1"/>
  <c r="CE71" i="1"/>
  <c r="AN72" i="1"/>
  <c r="CD72" i="1"/>
  <c r="AR72" i="1"/>
  <c r="O72" i="1"/>
  <c r="BY72" i="1"/>
  <c r="AS72" i="1"/>
  <c r="CC72" i="1"/>
  <c r="AS73" i="1" l="1"/>
  <c r="CD73" i="1"/>
  <c r="AR73" i="1"/>
  <c r="CC73" i="1"/>
  <c r="AN73" i="1"/>
  <c r="AO73" i="1" s="1"/>
  <c r="BY73" i="1"/>
  <c r="BZ73" i="1" s="1"/>
  <c r="AW72" i="1"/>
  <c r="AT72" i="1"/>
  <c r="AV72" i="1"/>
  <c r="A75" i="1"/>
  <c r="C74" i="1"/>
  <c r="AO72" i="1"/>
  <c r="BZ72" i="1"/>
  <c r="CE72" i="1"/>
  <c r="CG72" i="1"/>
  <c r="CH72" i="1"/>
  <c r="O74" i="1" l="1"/>
  <c r="BY74" i="1"/>
  <c r="CD74" i="1"/>
  <c r="AN74" i="1"/>
  <c r="AO74" i="1" s="1"/>
  <c r="AS74" i="1"/>
  <c r="AR74" i="1"/>
  <c r="CC74" i="1"/>
  <c r="CE73" i="1"/>
  <c r="CG73" i="1"/>
  <c r="CH73" i="1"/>
  <c r="A76" i="1"/>
  <c r="C75" i="1"/>
  <c r="AW73" i="1"/>
  <c r="AT73" i="1"/>
  <c r="AV73" i="1"/>
  <c r="AN75" i="1" l="1"/>
  <c r="AO75" i="1" s="1"/>
  <c r="AS75" i="1"/>
  <c r="BY75" i="1"/>
  <c r="BZ75" i="1" s="1"/>
  <c r="CC75" i="1"/>
  <c r="AR75" i="1"/>
  <c r="CD75" i="1"/>
  <c r="CE74" i="1"/>
  <c r="CG74" i="1"/>
  <c r="CH74" i="1"/>
  <c r="AV74" i="1"/>
  <c r="AW74" i="1"/>
  <c r="AT74" i="1"/>
  <c r="BZ74" i="1"/>
  <c r="A77" i="1"/>
  <c r="C76" i="1"/>
  <c r="C77" i="1" l="1"/>
  <c r="A78" i="1"/>
  <c r="CH75" i="1"/>
  <c r="CE75" i="1"/>
  <c r="CG75" i="1"/>
  <c r="CD76" i="1"/>
  <c r="AR76" i="1"/>
  <c r="AS76" i="1"/>
  <c r="BY76" i="1"/>
  <c r="AN76" i="1"/>
  <c r="CC76" i="1"/>
  <c r="AW75" i="1"/>
  <c r="AT75" i="1"/>
  <c r="AV75" i="1"/>
  <c r="AV76" i="1" l="1"/>
  <c r="AW76" i="1"/>
  <c r="AT76" i="1"/>
  <c r="CG76" i="1"/>
  <c r="CH76" i="1"/>
  <c r="CE76" i="1"/>
  <c r="AO76" i="1"/>
  <c r="A79" i="1"/>
  <c r="C78" i="1"/>
  <c r="BZ76" i="1"/>
  <c r="BY77" i="1"/>
  <c r="O77" i="1"/>
  <c r="CC77" i="1"/>
  <c r="AN77" i="1"/>
  <c r="AS77" i="1"/>
  <c r="AR77" i="1"/>
  <c r="CD77" i="1"/>
  <c r="BZ77" i="1" l="1"/>
  <c r="AO77" i="1"/>
  <c r="AW77" i="1"/>
  <c r="AT77" i="1"/>
  <c r="AV77" i="1"/>
  <c r="BY78" i="1"/>
  <c r="O78" i="1"/>
  <c r="AS78" i="1"/>
  <c r="CD78" i="1"/>
  <c r="AR78" i="1"/>
  <c r="CC78" i="1"/>
  <c r="AN78" i="1"/>
  <c r="A80" i="1"/>
  <c r="C79" i="1"/>
  <c r="CH77" i="1"/>
  <c r="CE77" i="1"/>
  <c r="CG77" i="1"/>
  <c r="CG78" i="1" l="1"/>
  <c r="CH78" i="1"/>
  <c r="CE78" i="1"/>
  <c r="AN79" i="1"/>
  <c r="AO79" i="1" s="1"/>
  <c r="BY79" i="1"/>
  <c r="CC79" i="1"/>
  <c r="AR79" i="1"/>
  <c r="O79" i="1"/>
  <c r="AS79" i="1"/>
  <c r="CD79" i="1"/>
  <c r="AW78" i="1"/>
  <c r="AT78" i="1"/>
  <c r="AV78" i="1"/>
  <c r="BZ78" i="1"/>
  <c r="CF78" i="1"/>
  <c r="C80" i="1"/>
  <c r="A81" i="1"/>
  <c r="AO78" i="1"/>
  <c r="AU78" i="1"/>
  <c r="AV79" i="1" l="1"/>
  <c r="AW79" i="1"/>
  <c r="AT79" i="1"/>
  <c r="CE79" i="1"/>
  <c r="CG79" i="1"/>
  <c r="CH79" i="1"/>
  <c r="BZ79" i="1"/>
  <c r="A82" i="1"/>
  <c r="C81" i="1"/>
  <c r="O80" i="1"/>
  <c r="AR80" i="1"/>
  <c r="BY80" i="1"/>
  <c r="BZ80" i="1" s="1"/>
  <c r="AS80" i="1"/>
  <c r="CD80" i="1"/>
  <c r="AN80" i="1"/>
  <c r="AO80" i="1" s="1"/>
  <c r="CC80" i="1"/>
  <c r="CH80" i="1" l="1"/>
  <c r="CE80" i="1"/>
  <c r="CG80" i="1"/>
  <c r="AN81" i="1"/>
  <c r="CC81" i="1"/>
  <c r="AR81" i="1"/>
  <c r="O81" i="1"/>
  <c r="AS81" i="1"/>
  <c r="BY81" i="1"/>
  <c r="CD81" i="1"/>
  <c r="AW80" i="1"/>
  <c r="AV80" i="1"/>
  <c r="AT80" i="1"/>
  <c r="C82" i="1"/>
  <c r="A83" i="1"/>
  <c r="C83" i="1" l="1"/>
  <c r="A84" i="1"/>
  <c r="AS82" i="1"/>
  <c r="AR82" i="1"/>
  <c r="BY82" i="1"/>
  <c r="CC82" i="1"/>
  <c r="CD82" i="1"/>
  <c r="AN82" i="1"/>
  <c r="AO82" i="1" s="1"/>
  <c r="AT81" i="1"/>
  <c r="AV81" i="1"/>
  <c r="AW81" i="1"/>
  <c r="AO81" i="1"/>
  <c r="AU81" i="1"/>
  <c r="BZ81" i="1"/>
  <c r="CF81" i="1"/>
  <c r="CH81" i="1"/>
  <c r="CE81" i="1"/>
  <c r="CG81" i="1"/>
  <c r="AV82" i="1" l="1"/>
  <c r="AW82" i="1"/>
  <c r="AT82" i="1"/>
  <c r="CH82" i="1"/>
  <c r="CG82" i="1"/>
  <c r="CE82" i="1"/>
  <c r="C84" i="1"/>
  <c r="A85" i="1"/>
  <c r="BZ82" i="1"/>
  <c r="CD83" i="1"/>
  <c r="AR83" i="1"/>
  <c r="AN83" i="1"/>
  <c r="AO83" i="1" s="1"/>
  <c r="AS83" i="1"/>
  <c r="BY83" i="1"/>
  <c r="BZ83" i="1" s="1"/>
  <c r="CC83" i="1"/>
  <c r="CE83" i="1" l="1"/>
  <c r="CH83" i="1"/>
  <c r="CG83" i="1"/>
  <c r="AT83" i="1"/>
  <c r="AW83" i="1"/>
  <c r="AV83" i="1"/>
  <c r="C85" i="1"/>
  <c r="A86" i="1"/>
  <c r="AS84" i="1"/>
  <c r="AN84" i="1"/>
  <c r="AO84" i="1" s="1"/>
  <c r="AR84" i="1"/>
  <c r="AS85" i="1" l="1"/>
  <c r="AR85" i="1"/>
  <c r="AN85" i="1"/>
  <c r="AO85" i="1" s="1"/>
  <c r="AV84" i="1"/>
  <c r="AW84" i="1"/>
  <c r="AT84" i="1"/>
  <c r="C86" i="1"/>
  <c r="A87" i="1"/>
  <c r="BY86" i="1" l="1"/>
  <c r="AR86" i="1"/>
  <c r="AN86" i="1"/>
  <c r="AS86" i="1"/>
  <c r="AV85" i="1"/>
  <c r="AT85" i="1"/>
  <c r="AW85" i="1"/>
  <c r="C87" i="1"/>
  <c r="A88" i="1"/>
  <c r="AO86" i="1" l="1"/>
  <c r="AU86" i="1"/>
  <c r="AS87" i="1"/>
  <c r="BY87" i="1"/>
  <c r="AN87" i="1"/>
  <c r="AR87" i="1"/>
  <c r="AW86" i="1"/>
  <c r="AV86" i="1"/>
  <c r="AT86" i="1"/>
  <c r="C88" i="1"/>
  <c r="A89" i="1"/>
  <c r="C89" i="1" l="1"/>
  <c r="A90" i="1"/>
  <c r="AS88" i="1"/>
  <c r="BY88" i="1"/>
  <c r="AR88" i="1"/>
  <c r="AN88" i="1"/>
  <c r="AO88" i="1" s="1"/>
  <c r="AV87" i="1"/>
  <c r="AT87" i="1"/>
  <c r="AW87" i="1"/>
  <c r="AO87" i="1"/>
  <c r="C90" i="1" l="1"/>
  <c r="A91" i="1"/>
  <c r="AW88" i="1"/>
  <c r="AT88" i="1"/>
  <c r="AV88" i="1"/>
  <c r="AR89" i="1"/>
  <c r="AN89" i="1"/>
  <c r="AS89" i="1"/>
  <c r="BY89" i="1"/>
  <c r="AO89" i="1" l="1"/>
  <c r="AT89" i="1"/>
  <c r="AW89" i="1"/>
  <c r="AV89" i="1"/>
  <c r="A92" i="1"/>
  <c r="C91" i="1"/>
  <c r="AS90" i="1"/>
  <c r="AR90" i="1"/>
  <c r="BY90" i="1"/>
  <c r="AN90" i="1"/>
  <c r="AO90" i="1" s="1"/>
  <c r="AR91" i="1" l="1"/>
  <c r="AS91" i="1"/>
  <c r="AN91" i="1"/>
  <c r="BY91" i="1"/>
  <c r="AW90" i="1"/>
  <c r="AV90" i="1"/>
  <c r="AT90" i="1"/>
  <c r="A93" i="1"/>
  <c r="C92" i="1"/>
  <c r="AO91" i="1" l="1"/>
  <c r="AN92" i="1"/>
  <c r="AO92" i="1" s="1"/>
  <c r="AR92" i="1"/>
  <c r="AW92" i="1" s="1"/>
  <c r="AS92" i="1"/>
  <c r="BY92" i="1"/>
  <c r="C93" i="1"/>
  <c r="A94" i="1"/>
  <c r="AV91" i="1"/>
  <c r="AW91" i="1"/>
  <c r="AT91" i="1"/>
  <c r="AN93" i="1" l="1"/>
  <c r="AS93" i="1"/>
  <c r="BY93" i="1"/>
  <c r="AR93" i="1"/>
  <c r="A95" i="1"/>
  <c r="C94" i="1"/>
  <c r="AN94" i="1" l="1"/>
  <c r="AS94" i="1"/>
  <c r="BY94" i="1"/>
  <c r="AR94" i="1"/>
  <c r="A96" i="1"/>
  <c r="C95" i="1"/>
  <c r="AR95" i="1" l="1"/>
  <c r="AS95" i="1"/>
  <c r="AN95" i="1"/>
  <c r="AO95" i="1" s="1"/>
  <c r="BY95" i="1"/>
  <c r="BZ95" i="1" s="1"/>
  <c r="C96" i="1"/>
  <c r="A97" i="1"/>
  <c r="BY96" i="1" l="1"/>
  <c r="AS96" i="1"/>
  <c r="CC96" i="1"/>
  <c r="AR96" i="1"/>
  <c r="CD96" i="1"/>
  <c r="AN96" i="1"/>
  <c r="AO96" i="1" s="1"/>
  <c r="C97" i="1"/>
  <c r="A98" i="1"/>
  <c r="AV95" i="1"/>
  <c r="AT95" i="1"/>
  <c r="AW95" i="1"/>
  <c r="C98" i="1" l="1"/>
  <c r="A99" i="1"/>
  <c r="AR97" i="1"/>
  <c r="BY97" i="1"/>
  <c r="BZ97" i="1" s="1"/>
  <c r="AN97" i="1"/>
  <c r="CC97" i="1"/>
  <c r="AS97" i="1"/>
  <c r="CD97" i="1"/>
  <c r="AW96" i="1"/>
  <c r="AV96" i="1"/>
  <c r="AT96" i="1"/>
  <c r="CE96" i="1"/>
  <c r="CH96" i="1"/>
  <c r="CG96" i="1"/>
  <c r="BZ96" i="1"/>
  <c r="AV97" i="1" l="1"/>
  <c r="AT97" i="1"/>
  <c r="AW97" i="1"/>
  <c r="C99" i="1"/>
  <c r="A100" i="1"/>
  <c r="CG97" i="1"/>
  <c r="CH97" i="1"/>
  <c r="CE97" i="1"/>
  <c r="AO97" i="1"/>
  <c r="AS98" i="1"/>
  <c r="AN98" i="1"/>
  <c r="CD98" i="1"/>
  <c r="AR98" i="1"/>
  <c r="CC98" i="1"/>
  <c r="CH98" i="1" s="1"/>
  <c r="AV98" i="1" l="1"/>
  <c r="AT98" i="1"/>
  <c r="AW98" i="1"/>
  <c r="C100" i="1"/>
  <c r="A101" i="1"/>
  <c r="CD99" i="1"/>
  <c r="AS99" i="1"/>
  <c r="AN99" i="1"/>
  <c r="AR99" i="1"/>
  <c r="AO98" i="1"/>
  <c r="AV99" i="1" l="1"/>
  <c r="AW99" i="1"/>
  <c r="AT99" i="1"/>
  <c r="C101" i="1"/>
  <c r="A102" i="1"/>
  <c r="AO99" i="1"/>
  <c r="AU99" i="1"/>
  <c r="AN100" i="1"/>
  <c r="BY100" i="1"/>
  <c r="CD100" i="1"/>
  <c r="CC100" i="1"/>
  <c r="AS101" i="1" l="1"/>
  <c r="AN101" i="1"/>
  <c r="BY101" i="1"/>
  <c r="CD101" i="1"/>
  <c r="AR101" i="1"/>
  <c r="CC101" i="1"/>
  <c r="AO100" i="1"/>
  <c r="A103" i="1"/>
  <c r="C102" i="1"/>
  <c r="BZ100" i="1"/>
  <c r="CH100" i="1"/>
  <c r="CE100" i="1"/>
  <c r="CG100" i="1"/>
  <c r="AN102" i="1" l="1"/>
  <c r="AO102" i="1" s="1"/>
  <c r="CD102" i="1"/>
  <c r="AS102" i="1"/>
  <c r="BY102" i="1"/>
  <c r="AR102" i="1"/>
  <c r="CC102" i="1"/>
  <c r="AO101" i="1"/>
  <c r="AU101" i="1"/>
  <c r="BZ101" i="1"/>
  <c r="CF101" i="1"/>
  <c r="CG101" i="1"/>
  <c r="CH101" i="1"/>
  <c r="CE101" i="1"/>
  <c r="A104" i="1"/>
  <c r="C103" i="1"/>
  <c r="BY103" i="1" l="1"/>
  <c r="BZ103" i="1" s="1"/>
  <c r="CD103" i="1"/>
  <c r="CC103" i="1"/>
  <c r="AN103" i="1"/>
  <c r="AO103" i="1" s="1"/>
  <c r="AR103" i="1"/>
  <c r="AS103" i="1"/>
  <c r="A105" i="1"/>
  <c r="C104" i="1"/>
  <c r="CG102" i="1"/>
  <c r="CE102" i="1"/>
  <c r="CH102" i="1"/>
  <c r="AT102" i="1"/>
  <c r="AW102" i="1"/>
  <c r="AV102" i="1"/>
  <c r="BZ102" i="1"/>
  <c r="AN104" i="1" l="1"/>
  <c r="CD104" i="1"/>
  <c r="AR104" i="1"/>
  <c r="BY104" i="1"/>
  <c r="AS104" i="1"/>
  <c r="CC104" i="1"/>
  <c r="CG103" i="1"/>
  <c r="CH103" i="1"/>
  <c r="CE103" i="1"/>
  <c r="A106" i="1"/>
  <c r="C105" i="1"/>
  <c r="AV103" i="1"/>
  <c r="AW103" i="1"/>
  <c r="AT103" i="1"/>
  <c r="AO104" i="1" l="1"/>
  <c r="BZ104" i="1"/>
  <c r="BY105" i="1"/>
  <c r="BZ105" i="1" s="1"/>
  <c r="AR105" i="1"/>
  <c r="AS105" i="1"/>
  <c r="AN105" i="1"/>
  <c r="AO105" i="1" s="1"/>
  <c r="CC105" i="1"/>
  <c r="CD105" i="1"/>
  <c r="AV104" i="1"/>
  <c r="AW104" i="1"/>
  <c r="AT104" i="1"/>
  <c r="A107" i="1"/>
  <c r="C106" i="1"/>
  <c r="CH104" i="1"/>
  <c r="CE104" i="1"/>
  <c r="CG104" i="1"/>
  <c r="AS106" i="1" l="1"/>
  <c r="CD106" i="1"/>
  <c r="AR106" i="1"/>
  <c r="CC106" i="1"/>
  <c r="BY106" i="1"/>
  <c r="AN106" i="1"/>
  <c r="C107" i="1"/>
  <c r="A108" i="1"/>
  <c r="AW105" i="1"/>
  <c r="AT105" i="1"/>
  <c r="AV105" i="1"/>
  <c r="CH105" i="1"/>
  <c r="CE105" i="1"/>
  <c r="CG105" i="1"/>
  <c r="CD107" i="1" l="1"/>
  <c r="AR107" i="1"/>
  <c r="CC107" i="1"/>
  <c r="AS107" i="1"/>
  <c r="BY107" i="1"/>
  <c r="AN107" i="1"/>
  <c r="CG106" i="1"/>
  <c r="CH106" i="1"/>
  <c r="CE106" i="1"/>
  <c r="AT106" i="1"/>
  <c r="AV106" i="1"/>
  <c r="AW106" i="1"/>
  <c r="AO106" i="1"/>
  <c r="AU106" i="1"/>
  <c r="C108" i="1"/>
  <c r="A109" i="1"/>
  <c r="BZ106" i="1"/>
  <c r="CF106" i="1"/>
  <c r="AN108" i="1" l="1"/>
  <c r="BY108" i="1"/>
  <c r="CD108" i="1"/>
  <c r="AS108" i="1"/>
  <c r="AR108" i="1"/>
  <c r="CE107" i="1"/>
  <c r="CG107" i="1"/>
  <c r="CH107" i="1"/>
  <c r="AO107" i="1"/>
  <c r="AT107" i="1"/>
  <c r="AV107" i="1"/>
  <c r="AW107" i="1"/>
  <c r="C109" i="1"/>
  <c r="A110" i="1"/>
  <c r="BZ107" i="1"/>
  <c r="A111" i="1" l="1"/>
  <c r="C110" i="1"/>
  <c r="AR109" i="1"/>
  <c r="AN109" i="1"/>
  <c r="BY109" i="1"/>
  <c r="BZ109" i="1" s="1"/>
  <c r="AS109" i="1"/>
  <c r="BZ108" i="1"/>
  <c r="AV108" i="1"/>
  <c r="AW108" i="1"/>
  <c r="AT108" i="1"/>
  <c r="AO108" i="1"/>
  <c r="AW109" i="1" l="1"/>
  <c r="AT109" i="1"/>
  <c r="AV109" i="1"/>
  <c r="C111" i="1"/>
  <c r="A112" i="1"/>
  <c r="AS110" i="1"/>
  <c r="CC110" i="1"/>
  <c r="AR110" i="1"/>
  <c r="BY110" i="1"/>
  <c r="BZ110" i="1" s="1"/>
  <c r="AN110" i="1"/>
  <c r="CD110" i="1"/>
  <c r="AO109" i="1"/>
  <c r="AT110" i="1" l="1"/>
  <c r="AV110" i="1"/>
  <c r="AW110" i="1"/>
  <c r="AS111" i="1"/>
  <c r="BY111" i="1"/>
  <c r="BZ111" i="1" s="1"/>
  <c r="CD111" i="1"/>
  <c r="AR111" i="1"/>
  <c r="AN111" i="1"/>
  <c r="CC111" i="1"/>
  <c r="CH111" i="1" s="1"/>
  <c r="CE110" i="1"/>
  <c r="CG110" i="1"/>
  <c r="CH110" i="1"/>
  <c r="AO110" i="1"/>
  <c r="C112" i="1"/>
  <c r="A113" i="1"/>
  <c r="AR112" i="1" l="1"/>
  <c r="CC112" i="1"/>
  <c r="AN112" i="1"/>
  <c r="CD112" i="1"/>
  <c r="BY112" i="1"/>
  <c r="BZ112" i="1" s="1"/>
  <c r="AS112" i="1"/>
  <c r="AT111" i="1"/>
  <c r="AV111" i="1"/>
  <c r="C113" i="1"/>
  <c r="A114" i="1"/>
  <c r="AO111" i="1"/>
  <c r="AO112" i="1" l="1"/>
  <c r="C114" i="1"/>
  <c r="A115" i="1"/>
  <c r="CH112" i="1"/>
  <c r="CE112" i="1"/>
  <c r="CG112" i="1"/>
  <c r="AN113" i="1"/>
  <c r="AO113" i="1" s="1"/>
  <c r="AS113" i="1"/>
  <c r="AR113" i="1"/>
  <c r="AT112" i="1"/>
  <c r="AV112" i="1"/>
  <c r="AW112" i="1"/>
  <c r="A116" i="1" l="1"/>
  <c r="C115" i="1"/>
  <c r="AS114" i="1"/>
  <c r="AN114" i="1"/>
  <c r="AR114" i="1"/>
  <c r="AW113" i="1"/>
  <c r="AT113" i="1"/>
  <c r="AV113" i="1"/>
  <c r="AO114" i="1" l="1"/>
  <c r="AR115" i="1"/>
  <c r="AN115" i="1"/>
  <c r="AO115" i="1" s="1"/>
  <c r="AS115" i="1"/>
  <c r="AW114" i="1"/>
  <c r="AT114" i="1"/>
  <c r="AV114" i="1"/>
  <c r="A117" i="1"/>
  <c r="C116" i="1"/>
  <c r="AT115" i="1" l="1"/>
  <c r="AV115" i="1"/>
  <c r="AW115" i="1"/>
  <c r="AN116" i="1"/>
  <c r="AR116" i="1"/>
  <c r="AS116" i="1"/>
  <c r="BY116" i="1"/>
  <c r="C117" i="1"/>
  <c r="A118" i="1"/>
  <c r="C118" i="1" l="1"/>
  <c r="A119" i="1"/>
  <c r="AV116" i="1"/>
  <c r="AW116" i="1"/>
  <c r="AT116" i="1"/>
  <c r="BY117" i="1"/>
  <c r="BZ117" i="1" s="1"/>
  <c r="CC117" i="1"/>
  <c r="CD117" i="1"/>
  <c r="AN117" i="1"/>
  <c r="AO117" i="1" s="1"/>
  <c r="AS117" i="1"/>
  <c r="AR117" i="1"/>
  <c r="AO116" i="1"/>
  <c r="AU116" i="1"/>
  <c r="BZ116" i="1"/>
  <c r="CF116" i="1"/>
  <c r="CE117" i="1" l="1"/>
  <c r="CG117" i="1"/>
  <c r="CH117" i="1"/>
  <c r="AV117" i="1"/>
  <c r="AW117" i="1"/>
  <c r="AT117" i="1"/>
  <c r="A120" i="1"/>
  <c r="C119" i="1"/>
  <c r="AN118" i="1"/>
  <c r="AO118" i="1" s="1"/>
  <c r="AS118" i="1"/>
  <c r="CD118" i="1"/>
  <c r="BY118" i="1"/>
  <c r="BZ118" i="1" s="1"/>
  <c r="CC118" i="1"/>
  <c r="AR118" i="1"/>
  <c r="CE118" i="1" l="1"/>
  <c r="CG118" i="1"/>
  <c r="CH118" i="1"/>
  <c r="AR119" i="1"/>
  <c r="AN119" i="1"/>
  <c r="AO119" i="1" s="1"/>
  <c r="CC119" i="1"/>
  <c r="CD119" i="1"/>
  <c r="AS119" i="1"/>
  <c r="BY119" i="1"/>
  <c r="BZ119" i="1" s="1"/>
  <c r="AT118" i="1"/>
  <c r="AV118" i="1"/>
  <c r="AW118" i="1"/>
  <c r="C120" i="1"/>
  <c r="A121" i="1"/>
  <c r="A122" i="1" l="1"/>
  <c r="C121" i="1"/>
  <c r="CG119" i="1"/>
  <c r="CH119" i="1"/>
  <c r="CE119" i="1"/>
  <c r="CE2" i="1"/>
  <c r="CE1" i="1"/>
  <c r="AV119" i="1"/>
  <c r="AW119" i="1"/>
  <c r="AT119" i="1"/>
  <c r="CD120" i="1"/>
  <c r="BY120" i="1"/>
  <c r="BZ120" i="1" s="1"/>
  <c r="AS120" i="1"/>
  <c r="AR120" i="1"/>
  <c r="AN120" i="1"/>
  <c r="AO120" i="1" s="1"/>
  <c r="CC120" i="1"/>
  <c r="AT120" i="1" l="1"/>
  <c r="AV120" i="1"/>
  <c r="AW120" i="1"/>
  <c r="CG120" i="1"/>
  <c r="CH120" i="1"/>
  <c r="CE120" i="1"/>
  <c r="AN121" i="1"/>
  <c r="AS121" i="1"/>
  <c r="CD121" i="1"/>
  <c r="AR121" i="1"/>
  <c r="CC121" i="1"/>
  <c r="BY121" i="1"/>
  <c r="C122" i="1"/>
  <c r="A123" i="1"/>
  <c r="CG121" i="1" l="1"/>
  <c r="CE121" i="1"/>
  <c r="CH121" i="1"/>
  <c r="AV121" i="1"/>
  <c r="AT121" i="1"/>
  <c r="AW121" i="1"/>
  <c r="AS122" i="1"/>
  <c r="CD122" i="1"/>
  <c r="AN122" i="1"/>
  <c r="CC122" i="1"/>
  <c r="AR122" i="1"/>
  <c r="BY122" i="1"/>
  <c r="BZ121" i="1"/>
  <c r="AO121" i="1"/>
  <c r="C123" i="1"/>
  <c r="A124" i="1"/>
  <c r="AW122" i="1" l="1"/>
  <c r="AV122" i="1"/>
  <c r="AT122" i="1"/>
  <c r="CH122" i="1"/>
  <c r="CG122" i="1"/>
  <c r="CE122" i="1"/>
  <c r="BY123" i="1"/>
  <c r="CC123" i="1"/>
  <c r="AR123" i="1"/>
  <c r="AN123" i="1"/>
  <c r="AS123" i="1"/>
  <c r="CD123" i="1"/>
  <c r="AO122" i="1"/>
  <c r="BZ122" i="1"/>
  <c r="C124" i="1"/>
  <c r="A125" i="1"/>
  <c r="AT123" i="1" l="1"/>
  <c r="AV123" i="1"/>
  <c r="AW123" i="1"/>
  <c r="CH123" i="1"/>
  <c r="CE123" i="1"/>
  <c r="CG123" i="1"/>
  <c r="BZ123" i="1"/>
  <c r="CF123" i="1"/>
  <c r="A126" i="1"/>
  <c r="C125" i="1"/>
  <c r="AN124" i="1"/>
  <c r="AR124" i="1"/>
  <c r="AS124" i="1"/>
  <c r="CD124" i="1"/>
  <c r="BY124" i="1"/>
  <c r="BZ124" i="1" s="1"/>
  <c r="CC124" i="1"/>
  <c r="AO123" i="1"/>
  <c r="AU123" i="1"/>
  <c r="A127" i="1" l="1"/>
  <c r="C126" i="1"/>
  <c r="AW124" i="1"/>
  <c r="AT124" i="1"/>
  <c r="AV124" i="1"/>
  <c r="AO124" i="1"/>
  <c r="AN125" i="1"/>
  <c r="AO125" i="1" s="1"/>
  <c r="AS125" i="1"/>
  <c r="AR125" i="1"/>
  <c r="BY125" i="1"/>
  <c r="CD125" i="1"/>
  <c r="CC125" i="1"/>
  <c r="CG124" i="1"/>
  <c r="CE124" i="1"/>
  <c r="CH124" i="1"/>
  <c r="BZ125" i="1" l="1"/>
  <c r="AW125" i="1"/>
  <c r="AT125" i="1"/>
  <c r="AV125" i="1"/>
  <c r="CH125" i="1"/>
  <c r="CE125" i="1"/>
  <c r="CG125" i="1"/>
  <c r="AR126" i="1"/>
  <c r="BY126" i="1"/>
  <c r="CD126" i="1"/>
  <c r="CC126" i="1"/>
  <c r="AN126" i="1"/>
  <c r="AS126" i="1"/>
  <c r="A128" i="1"/>
  <c r="C127" i="1"/>
  <c r="BZ126" i="1" l="1"/>
  <c r="AO126" i="1"/>
  <c r="C128" i="1"/>
  <c r="A129" i="1"/>
  <c r="AW126" i="1"/>
  <c r="AT126" i="1"/>
  <c r="AV126" i="1"/>
  <c r="AS127" i="1"/>
  <c r="CC127" i="1"/>
  <c r="AR127" i="1"/>
  <c r="AN127" i="1"/>
  <c r="BY127" i="1"/>
  <c r="CD127" i="1"/>
  <c r="CG126" i="1"/>
  <c r="CH126" i="1"/>
  <c r="CE126" i="1"/>
  <c r="BZ127" i="1" l="1"/>
  <c r="CF127" i="1"/>
  <c r="AO127" i="1"/>
  <c r="AU127" i="1"/>
  <c r="AW127" i="1"/>
  <c r="AT127" i="1"/>
  <c r="AV127" i="1"/>
  <c r="CE127" i="1"/>
  <c r="CG127" i="1"/>
  <c r="CH127" i="1"/>
  <c r="A130" i="1"/>
  <c r="C129" i="1"/>
  <c r="CD128" i="1"/>
  <c r="AR128" i="1"/>
  <c r="AW128" i="1" s="1"/>
  <c r="CC128" i="1"/>
  <c r="CH128" i="1" s="1"/>
  <c r="AS128" i="1"/>
  <c r="BY129" i="1" l="1"/>
  <c r="CD129" i="1"/>
  <c r="AS129" i="1"/>
  <c r="AR129" i="1"/>
  <c r="AN129" i="1"/>
  <c r="CC129" i="1"/>
  <c r="C130" i="1"/>
  <c r="A131" i="1"/>
  <c r="AR130" i="1" l="1"/>
  <c r="AN130" i="1"/>
  <c r="AO130" i="1" s="1"/>
  <c r="CC130" i="1"/>
  <c r="CD130" i="1"/>
  <c r="AS130" i="1"/>
  <c r="BY130" i="1"/>
  <c r="BZ130" i="1" s="1"/>
  <c r="AO129" i="1"/>
  <c r="C131" i="1"/>
  <c r="A132" i="1"/>
  <c r="AV129" i="1"/>
  <c r="AW129" i="1"/>
  <c r="AT129" i="1"/>
  <c r="CE129" i="1"/>
  <c r="CG129" i="1"/>
  <c r="CH129" i="1"/>
  <c r="BZ129" i="1"/>
  <c r="A133" i="1" l="1"/>
  <c r="C132" i="1"/>
  <c r="CE130" i="1"/>
  <c r="CG130" i="1"/>
  <c r="CH130" i="1"/>
  <c r="AR131" i="1"/>
  <c r="BY131" i="1"/>
  <c r="AS131" i="1"/>
  <c r="CC131" i="1"/>
  <c r="AN131" i="1"/>
  <c r="AO131" i="1" s="1"/>
  <c r="CD131" i="1"/>
  <c r="AW130" i="1"/>
  <c r="AT130" i="1"/>
  <c r="AV130" i="1"/>
  <c r="BZ131" i="1" l="1"/>
  <c r="AN132" i="1"/>
  <c r="BY132" i="1"/>
  <c r="BZ132" i="1" s="1"/>
  <c r="AS132" i="1"/>
  <c r="CD132" i="1"/>
  <c r="AR132" i="1"/>
  <c r="AW132" i="1" s="1"/>
  <c r="CC132" i="1"/>
  <c r="AT131" i="1"/>
  <c r="AV131" i="1"/>
  <c r="AW131" i="1"/>
  <c r="CG131" i="1"/>
  <c r="CH131" i="1"/>
  <c r="CE131" i="1"/>
  <c r="A134" i="1"/>
  <c r="C133" i="1"/>
  <c r="CC133" i="1" l="1"/>
  <c r="AS133" i="1"/>
  <c r="CD133" i="1"/>
  <c r="BY133" i="1"/>
  <c r="AR133" i="1"/>
  <c r="A135" i="1"/>
  <c r="C134" i="1"/>
  <c r="CG132" i="1"/>
  <c r="CE132" i="1"/>
  <c r="CH132" i="1"/>
  <c r="AO132" i="1"/>
  <c r="AU133" i="1"/>
  <c r="CW135" i="1"/>
  <c r="CW136" i="1"/>
  <c r="CW134" i="1"/>
  <c r="CS136" i="1"/>
  <c r="CS135" i="1"/>
  <c r="CS134" i="1"/>
  <c r="AR134" i="1" l="1"/>
  <c r="BY134" i="1"/>
  <c r="BZ134" i="1" s="1"/>
  <c r="AN134" i="1"/>
  <c r="CC134" i="1"/>
  <c r="AS134" i="1"/>
  <c r="CD134" i="1"/>
  <c r="C135" i="1"/>
  <c r="A136" i="1"/>
  <c r="CE133" i="1"/>
  <c r="CG133" i="1"/>
  <c r="CH133" i="1"/>
  <c r="BZ133" i="1"/>
  <c r="CF133" i="1"/>
  <c r="C136" i="1" l="1"/>
  <c r="A137" i="1"/>
  <c r="CE134" i="1"/>
  <c r="CH134" i="1"/>
  <c r="CG134" i="1"/>
  <c r="BY135" i="1"/>
  <c r="AS135" i="1"/>
  <c r="AR135" i="1"/>
  <c r="CD135" i="1"/>
  <c r="CC135" i="1"/>
  <c r="AO134" i="1"/>
  <c r="AU135" i="1"/>
  <c r="CE135" i="1" l="1"/>
  <c r="CG135" i="1"/>
  <c r="CH135" i="1"/>
  <c r="DA134" i="1"/>
  <c r="DA136" i="1"/>
  <c r="DA135" i="1"/>
  <c r="CR135" i="1"/>
  <c r="CR136" i="1"/>
  <c r="CR134" i="1"/>
  <c r="A138" i="1"/>
  <c r="C137" i="1"/>
  <c r="BZ135" i="1"/>
  <c r="CF135" i="1"/>
  <c r="AS136" i="1"/>
  <c r="CD136" i="1"/>
  <c r="BY136" i="1"/>
  <c r="BZ136" i="1" s="1"/>
  <c r="AR136" i="1"/>
  <c r="CC136" i="1"/>
  <c r="CU135" i="1"/>
  <c r="CU136" i="1"/>
  <c r="CU134" i="1"/>
  <c r="DB136" i="1"/>
  <c r="DB134" i="1"/>
  <c r="DB135" i="1"/>
  <c r="CQ136" i="1"/>
  <c r="CQ135" i="1"/>
  <c r="CQ134" i="1"/>
  <c r="CG136" i="1" l="1"/>
  <c r="CE136" i="1"/>
  <c r="CH136" i="1"/>
  <c r="CD137" i="1"/>
  <c r="AS137" i="1"/>
  <c r="CC137" i="1"/>
  <c r="BY137" i="1"/>
  <c r="AR137" i="1"/>
  <c r="DE134" i="1"/>
  <c r="DE136" i="1"/>
  <c r="DE135" i="1"/>
  <c r="C138" i="1"/>
  <c r="A139" i="1"/>
  <c r="DF136" i="1"/>
  <c r="DF134" i="1"/>
  <c r="DF135" i="1"/>
  <c r="DC136" i="1"/>
  <c r="DC134" i="1"/>
  <c r="DC135" i="1"/>
  <c r="BZ137" i="1" l="1"/>
  <c r="CG137" i="1"/>
  <c r="CH137" i="1"/>
  <c r="CE137" i="1"/>
  <c r="C139" i="1"/>
  <c r="A140" i="1"/>
  <c r="AS138" i="1"/>
  <c r="CC138" i="1"/>
  <c r="AR138" i="1"/>
  <c r="CD138" i="1"/>
  <c r="BY138" i="1"/>
  <c r="C140" i="1" l="1"/>
  <c r="A141" i="1"/>
  <c r="AS139" i="1"/>
  <c r="CC139" i="1"/>
  <c r="BY139" i="1"/>
  <c r="BZ139" i="1" s="1"/>
  <c r="AR139" i="1"/>
  <c r="CD139" i="1"/>
  <c r="BZ138" i="1"/>
  <c r="A142" i="1" l="1"/>
  <c r="C141" i="1"/>
  <c r="AS140" i="1"/>
  <c r="CC140" i="1"/>
  <c r="AR140" i="1"/>
  <c r="CD140" i="1"/>
  <c r="BY140" i="1"/>
  <c r="C142" i="1" l="1"/>
  <c r="A143" i="1"/>
  <c r="BZ140" i="1"/>
  <c r="CD141" i="1"/>
  <c r="CC141" i="1"/>
  <c r="AS141" i="1"/>
  <c r="AR141" i="1"/>
  <c r="C143" i="1" l="1"/>
  <c r="A144" i="1"/>
  <c r="CD142" i="1"/>
  <c r="CC142" i="1"/>
  <c r="A145" i="1" l="1"/>
  <c r="C144" i="1"/>
  <c r="CD143" i="1"/>
  <c r="CC143" i="1"/>
  <c r="C145" i="1" l="1"/>
  <c r="A146" i="1"/>
  <c r="AN144" i="1"/>
  <c r="BY144" i="1"/>
  <c r="CC144" i="1"/>
  <c r="CD144" i="1"/>
  <c r="A147" i="1" l="1"/>
  <c r="C146" i="1"/>
  <c r="AN145" i="1"/>
  <c r="AO145" i="1" s="1"/>
  <c r="CD145" i="1"/>
  <c r="CC145" i="1"/>
  <c r="AR145" i="1"/>
  <c r="BY145" i="1"/>
  <c r="BZ145" i="1" s="1"/>
  <c r="AS145" i="1"/>
  <c r="AW145" i="1" l="1"/>
  <c r="AT145" i="1"/>
  <c r="AV145" i="1"/>
  <c r="CD146" i="1"/>
  <c r="AS146" i="1"/>
  <c r="AN146" i="1"/>
  <c r="AR146" i="1"/>
  <c r="CC146" i="1"/>
  <c r="CH146" i="1" s="1"/>
  <c r="BY146" i="1"/>
  <c r="CH145" i="1"/>
  <c r="CE145" i="1"/>
  <c r="CG145" i="1"/>
  <c r="A148" i="1"/>
  <c r="C147" i="1"/>
  <c r="AN147" i="1" l="1"/>
  <c r="AO147" i="1" s="1"/>
  <c r="BY147" i="1"/>
  <c r="BZ147" i="1" s="1"/>
  <c r="AR147" i="1"/>
  <c r="CD147" i="1"/>
  <c r="AS147" i="1"/>
  <c r="CC147" i="1"/>
  <c r="AT146" i="1"/>
  <c r="AV146" i="1"/>
  <c r="AW146" i="1"/>
  <c r="AO146" i="1"/>
  <c r="C148" i="1"/>
  <c r="A149" i="1"/>
  <c r="BZ146" i="1"/>
  <c r="AN148" i="1" l="1"/>
  <c r="BY148" i="1"/>
  <c r="AS148" i="1"/>
  <c r="CD148" i="1"/>
  <c r="AR148" i="1"/>
  <c r="CC148" i="1"/>
  <c r="C149" i="1"/>
  <c r="A150" i="1"/>
  <c r="AW147" i="1"/>
  <c r="AT147" i="1"/>
  <c r="AV147" i="1"/>
  <c r="CG147" i="1"/>
  <c r="CE147" i="1"/>
  <c r="AT148" i="1" l="1"/>
  <c r="AV148" i="1"/>
  <c r="AW148" i="1"/>
  <c r="BY149" i="1"/>
  <c r="CC149" i="1"/>
  <c r="AN149" i="1"/>
  <c r="AR149" i="1"/>
  <c r="AS149" i="1"/>
  <c r="CD149" i="1"/>
  <c r="BZ148" i="1"/>
  <c r="AO148" i="1"/>
  <c r="A151" i="1"/>
  <c r="C150" i="1"/>
  <c r="AO149" i="1" l="1"/>
  <c r="CG149" i="1"/>
  <c r="CH149" i="1"/>
  <c r="BZ149" i="1"/>
  <c r="AN150" i="1"/>
  <c r="AS150" i="1"/>
  <c r="AR150" i="1"/>
  <c r="CD150" i="1"/>
  <c r="BY150" i="1"/>
  <c r="CE149" i="1" s="1"/>
  <c r="CC150" i="1"/>
  <c r="A152" i="1"/>
  <c r="C151" i="1"/>
  <c r="AW149" i="1"/>
  <c r="AT149" i="1"/>
  <c r="AV149" i="1"/>
  <c r="AS151" i="1" l="1"/>
  <c r="AN151" i="1"/>
  <c r="BY151" i="1"/>
  <c r="CD151" i="1"/>
  <c r="AR151" i="1"/>
  <c r="CC151" i="1"/>
  <c r="AV150" i="1"/>
  <c r="AW150" i="1"/>
  <c r="AT150" i="1"/>
  <c r="BZ150" i="1"/>
  <c r="CF150" i="1"/>
  <c r="AO150" i="1"/>
  <c r="AU150" i="1"/>
  <c r="A153" i="1"/>
  <c r="C152" i="1"/>
  <c r="CH150" i="1"/>
  <c r="CE150" i="1"/>
  <c r="CG150" i="1"/>
  <c r="C153" i="1" l="1"/>
  <c r="A154" i="1"/>
  <c r="BZ151" i="1"/>
  <c r="CF151" i="1"/>
  <c r="CH151" i="1"/>
  <c r="AO151" i="1"/>
  <c r="AU151" i="1"/>
  <c r="AR152" i="1"/>
  <c r="BY152" i="1"/>
  <c r="CG151" i="1" s="1"/>
  <c r="CC152" i="1"/>
  <c r="AS152" i="1"/>
  <c r="CD152" i="1"/>
  <c r="AN152" i="1"/>
  <c r="AT151" i="1"/>
  <c r="AV151" i="1"/>
  <c r="AW151" i="1"/>
  <c r="CH152" i="1" l="1"/>
  <c r="CE152" i="1"/>
  <c r="AO152" i="1"/>
  <c r="BZ152" i="1"/>
  <c r="CE151" i="1"/>
  <c r="CC153" i="1"/>
  <c r="AN153" i="1"/>
  <c r="CD153" i="1"/>
  <c r="AS153" i="1"/>
  <c r="BY153" i="1"/>
  <c r="BZ153" i="1" s="1"/>
  <c r="AR153" i="1"/>
  <c r="AT152" i="1"/>
  <c r="AW152" i="1"/>
  <c r="AV152" i="1"/>
  <c r="C154" i="1"/>
  <c r="A155" i="1"/>
  <c r="A156" i="1" l="1"/>
  <c r="C155" i="1"/>
  <c r="AV153" i="1"/>
  <c r="AT153" i="1"/>
  <c r="AW153" i="1"/>
  <c r="AO153" i="1"/>
  <c r="CG152" i="1"/>
  <c r="CH153" i="1"/>
  <c r="CE153" i="1"/>
  <c r="AN154" i="1"/>
  <c r="CD154" i="1"/>
  <c r="BY154" i="1"/>
  <c r="CG153" i="1" s="1"/>
  <c r="CC154" i="1"/>
  <c r="AR154" i="1"/>
  <c r="AS154" i="1"/>
  <c r="BZ154" i="1" l="1"/>
  <c r="C156" i="1"/>
  <c r="A157" i="1"/>
  <c r="AV154" i="1"/>
  <c r="AT154" i="1"/>
  <c r="AW154" i="1"/>
  <c r="AO154" i="1"/>
  <c r="CH154" i="1"/>
  <c r="CG154" i="1"/>
  <c r="CE154" i="1"/>
  <c r="CC155" i="1"/>
  <c r="AR155" i="1"/>
  <c r="AN155" i="1"/>
  <c r="AO155" i="1" s="1"/>
  <c r="AS155" i="1"/>
  <c r="BY155" i="1"/>
  <c r="BZ155" i="1" s="1"/>
  <c r="CD155" i="1"/>
  <c r="C157" i="1" l="1"/>
  <c r="A158" i="1"/>
  <c r="AW155" i="1"/>
  <c r="AT155" i="1"/>
  <c r="AV155" i="1"/>
  <c r="BY156" i="1"/>
  <c r="CC156" i="1"/>
  <c r="AR156" i="1"/>
  <c r="CD156" i="1"/>
  <c r="AS156" i="1"/>
  <c r="AN156" i="1"/>
  <c r="CH155" i="1"/>
  <c r="CE155" i="1"/>
  <c r="CG155" i="1"/>
  <c r="BZ156" i="1" l="1"/>
  <c r="CF156" i="1"/>
  <c r="A159" i="1"/>
  <c r="C158" i="1"/>
  <c r="AN157" i="1"/>
  <c r="AO157" i="1" s="1"/>
  <c r="AS157" i="1"/>
  <c r="CC157" i="1"/>
  <c r="BY157" i="1"/>
  <c r="CD157" i="1"/>
  <c r="AR157" i="1"/>
  <c r="AV156" i="1"/>
  <c r="AT156" i="1"/>
  <c r="AW156" i="1"/>
  <c r="AO156" i="1"/>
  <c r="AU156" i="1"/>
  <c r="CH156" i="1"/>
  <c r="CE156" i="1"/>
  <c r="CG156" i="1"/>
  <c r="AT157" i="1" l="1"/>
  <c r="AV157" i="1"/>
  <c r="AW157" i="1"/>
  <c r="BZ157" i="1"/>
  <c r="A160" i="1"/>
  <c r="C159" i="1"/>
  <c r="CE157" i="1"/>
  <c r="CG157" i="1"/>
  <c r="CH157" i="1"/>
  <c r="CD158" i="1"/>
  <c r="AS158" i="1"/>
  <c r="BY158" i="1"/>
  <c r="BZ158" i="1" s="1"/>
  <c r="AR158" i="1"/>
  <c r="AN158" i="1"/>
  <c r="CC158" i="1"/>
  <c r="AO158" i="1" l="1"/>
  <c r="C160" i="1"/>
  <c r="A161" i="1"/>
  <c r="AT158" i="1"/>
  <c r="AV158" i="1"/>
  <c r="AW158" i="1"/>
  <c r="CH158" i="1"/>
  <c r="CG158" i="1"/>
  <c r="CE158" i="1"/>
  <c r="BY159" i="1"/>
  <c r="AN159" i="1"/>
  <c r="AO159" i="1" s="1"/>
  <c r="CD159" i="1"/>
  <c r="AR159" i="1"/>
  <c r="CC159" i="1"/>
  <c r="AS159" i="1"/>
  <c r="AT159" i="1" l="1"/>
  <c r="AV159" i="1"/>
  <c r="AW159" i="1"/>
  <c r="CC160" i="1"/>
  <c r="AS160" i="1"/>
  <c r="AN160" i="1"/>
  <c r="AO160" i="1" s="1"/>
  <c r="AR160" i="1"/>
  <c r="BY160" i="1"/>
  <c r="CD160" i="1"/>
  <c r="CH159" i="1"/>
  <c r="CE159" i="1"/>
  <c r="CG159" i="1"/>
  <c r="BZ159" i="1"/>
  <c r="C161" i="1"/>
  <c r="A162" i="1"/>
  <c r="A163" i="1" l="1"/>
  <c r="C162" i="1"/>
  <c r="BZ160" i="1"/>
  <c r="CH160" i="1"/>
  <c r="CG160" i="1"/>
  <c r="CE160" i="1"/>
  <c r="AT160" i="1"/>
  <c r="AW160" i="1"/>
  <c r="AV160" i="1"/>
  <c r="AN161" i="1"/>
  <c r="BY161" i="1"/>
  <c r="AR161" i="1"/>
  <c r="CD161" i="1"/>
  <c r="AS161" i="1"/>
  <c r="CC161" i="1"/>
  <c r="CE161" i="1" l="1"/>
  <c r="CG161" i="1"/>
  <c r="CH161" i="1"/>
  <c r="BZ161" i="1"/>
  <c r="AO161" i="1"/>
  <c r="BY162" i="1"/>
  <c r="CC162" i="1"/>
  <c r="AN162" i="1"/>
  <c r="CD162" i="1"/>
  <c r="AR162" i="1"/>
  <c r="AS162" i="1"/>
  <c r="AT161" i="1"/>
  <c r="AW161" i="1"/>
  <c r="AV161" i="1"/>
  <c r="C163" i="1"/>
  <c r="A164" i="1"/>
  <c r="AO162" i="1" l="1"/>
  <c r="AU162" i="1"/>
  <c r="AR163" i="1"/>
  <c r="CD163" i="1"/>
  <c r="BY163" i="1"/>
  <c r="CC163" i="1"/>
  <c r="AS163" i="1"/>
  <c r="AN163" i="1"/>
  <c r="AV162" i="1" s="1"/>
  <c r="CH162" i="1"/>
  <c r="CE162" i="1"/>
  <c r="CG162" i="1"/>
  <c r="AW162" i="1"/>
  <c r="AT162" i="1"/>
  <c r="BZ162" i="1"/>
  <c r="CF162" i="1"/>
  <c r="C164" i="1"/>
  <c r="A165" i="1"/>
  <c r="AO163" i="1" l="1"/>
  <c r="AW163" i="1"/>
  <c r="C165" i="1"/>
  <c r="A166" i="1"/>
  <c r="CH163" i="1"/>
  <c r="CG163" i="1"/>
  <c r="AR164" i="1"/>
  <c r="AS164" i="1"/>
  <c r="CC164" i="1"/>
  <c r="BY164" i="1"/>
  <c r="CD164" i="1"/>
  <c r="AN164" i="1"/>
  <c r="BZ163" i="1"/>
  <c r="BZ164" i="1" l="1"/>
  <c r="CF164" i="1"/>
  <c r="AO164" i="1"/>
  <c r="AU164" i="1"/>
  <c r="AS165" i="1"/>
  <c r="CD165" i="1"/>
  <c r="AR165" i="1"/>
  <c r="CC165" i="1"/>
  <c r="BY165" i="1"/>
  <c r="AN165" i="1"/>
  <c r="AO165" i="1" s="1"/>
  <c r="AW164" i="1"/>
  <c r="AV163" i="1"/>
  <c r="AT163" i="1"/>
  <c r="CH164" i="1"/>
  <c r="C166" i="1"/>
  <c r="A167" i="1"/>
  <c r="CG164" i="1" l="1"/>
  <c r="CE163" i="1"/>
  <c r="AV164" i="1"/>
  <c r="BZ165" i="1"/>
  <c r="CE164" i="1"/>
  <c r="AW165" i="1"/>
  <c r="CU167" i="1"/>
  <c r="CU169" i="1"/>
  <c r="CU168" i="1"/>
  <c r="DE168" i="1"/>
  <c r="DE169" i="1"/>
  <c r="DE167" i="1"/>
  <c r="A168" i="1"/>
  <c r="C167" i="1"/>
  <c r="AN166" i="1"/>
  <c r="AO166" i="1" s="1"/>
  <c r="CC166" i="1"/>
  <c r="CD166" i="1"/>
  <c r="BY166" i="1"/>
  <c r="BZ166" i="1" s="1"/>
  <c r="AS166" i="1"/>
  <c r="AR166" i="1"/>
  <c r="AT164" i="1"/>
  <c r="CH165" i="1"/>
  <c r="CG165" i="1"/>
  <c r="CE165" i="1"/>
  <c r="A169" i="1" l="1"/>
  <c r="C168" i="1"/>
  <c r="AW166" i="1"/>
  <c r="CG166" i="1"/>
  <c r="CH166" i="1"/>
  <c r="AT165" i="1"/>
  <c r="AV165" i="1"/>
  <c r="AN167" i="1"/>
  <c r="AT166" i="1" s="1"/>
  <c r="CC167" i="1"/>
  <c r="AR167" i="1"/>
  <c r="CD167" i="1"/>
  <c r="AS167" i="1"/>
  <c r="BY167" i="1"/>
  <c r="BZ167" i="1" s="1"/>
  <c r="AW167" i="1" l="1"/>
  <c r="CH167" i="1"/>
  <c r="AN168" i="1"/>
  <c r="AT167" i="1" s="1"/>
  <c r="BY168" i="1"/>
  <c r="AS168" i="1"/>
  <c r="AR168" i="1"/>
  <c r="CD168" i="1"/>
  <c r="CC168" i="1"/>
  <c r="AO167" i="1"/>
  <c r="AV166" i="1"/>
  <c r="C169" i="1"/>
  <c r="A170" i="1"/>
  <c r="CG167" i="1" l="1"/>
  <c r="CE166" i="1"/>
  <c r="CE167" i="1"/>
  <c r="AV167" i="1"/>
  <c r="C170" i="1"/>
  <c r="A171" i="1"/>
  <c r="CR169" i="1"/>
  <c r="CR167" i="1"/>
  <c r="CR168" i="1"/>
  <c r="CG168" i="1"/>
  <c r="CH168" i="1"/>
  <c r="CE168" i="1"/>
  <c r="DA169" i="1"/>
  <c r="DA168" i="1"/>
  <c r="DA167" i="1"/>
  <c r="DB169" i="1"/>
  <c r="DB168" i="1"/>
  <c r="DB167" i="1"/>
  <c r="AO168" i="1"/>
  <c r="BY169" i="1"/>
  <c r="AN169" i="1"/>
  <c r="AR169" i="1"/>
  <c r="CC169" i="1"/>
  <c r="AS169" i="1"/>
  <c r="CD169" i="1"/>
  <c r="AW168" i="1"/>
  <c r="CQ168" i="1"/>
  <c r="CQ169" i="1"/>
  <c r="CQ167" i="1"/>
  <c r="BZ168" i="1"/>
  <c r="AT168" i="1" l="1"/>
  <c r="AW169" i="1"/>
  <c r="DC167" i="1"/>
  <c r="DC169" i="1"/>
  <c r="DC168" i="1"/>
  <c r="AO169" i="1"/>
  <c r="AU169" i="1"/>
  <c r="BZ169" i="1"/>
  <c r="CF169" i="1"/>
  <c r="DF167" i="1"/>
  <c r="DF169" i="1"/>
  <c r="DF168" i="1"/>
  <c r="C171" i="1"/>
  <c r="A172" i="1"/>
  <c r="AV168" i="1"/>
  <c r="CH169" i="1"/>
  <c r="CG169" i="1"/>
  <c r="CE169" i="1"/>
  <c r="AR170" i="1"/>
  <c r="BY170" i="1"/>
  <c r="CD170" i="1"/>
  <c r="AN170" i="1"/>
  <c r="AT169" i="1" s="1"/>
  <c r="CC170" i="1"/>
  <c r="BZ170" i="1" l="1"/>
  <c r="CF170" i="1"/>
  <c r="CW169" i="1"/>
  <c r="CW168" i="1"/>
  <c r="CW167" i="1"/>
  <c r="CG170" i="1"/>
  <c r="CH170" i="1"/>
  <c r="CE170" i="1"/>
  <c r="A173" i="1"/>
  <c r="C172" i="1"/>
  <c r="CD171" i="1"/>
  <c r="BY171" i="1"/>
  <c r="BZ171" i="1" s="1"/>
  <c r="CC171" i="1"/>
  <c r="AN171" i="1"/>
  <c r="AO171" i="1" s="1"/>
  <c r="AR171" i="1"/>
  <c r="CS168" i="1"/>
  <c r="CS169" i="1"/>
  <c r="CS167" i="1"/>
  <c r="AO170" i="1"/>
  <c r="AU170" i="1"/>
  <c r="AV169" i="1"/>
  <c r="AT170" i="1" l="1"/>
  <c r="C173" i="1"/>
  <c r="A174" i="1"/>
  <c r="CH171" i="1"/>
  <c r="CG171" i="1"/>
  <c r="CE171" i="1"/>
  <c r="AV170" i="1"/>
  <c r="AW171" i="1"/>
  <c r="AN172" i="1"/>
  <c r="AT171" i="1" s="1"/>
  <c r="CD172" i="1"/>
  <c r="AS172" i="1"/>
  <c r="BY172" i="1"/>
  <c r="BZ172" i="1" s="1"/>
  <c r="CC172" i="1"/>
  <c r="AR172" i="1"/>
  <c r="AW172" i="1" l="1"/>
  <c r="AO172" i="1"/>
  <c r="AV171" i="1"/>
  <c r="BY173" i="1"/>
  <c r="CE172" i="1" s="1"/>
  <c r="CD173" i="1"/>
  <c r="AN173" i="1"/>
  <c r="AO173" i="1" s="1"/>
  <c r="CC173" i="1"/>
  <c r="AR173" i="1"/>
  <c r="CH172" i="1"/>
  <c r="C174" i="1"/>
  <c r="A175" i="1"/>
  <c r="CG172" i="1" l="1"/>
  <c r="CH173" i="1"/>
  <c r="CG173" i="1"/>
  <c r="CE173" i="1"/>
  <c r="C175" i="1"/>
  <c r="A176" i="1"/>
  <c r="BY174" i="1"/>
  <c r="BZ174" i="1" s="1"/>
  <c r="AR174" i="1"/>
  <c r="AN174" i="1"/>
  <c r="AO174" i="1" s="1"/>
  <c r="CC174" i="1"/>
  <c r="CD174" i="1"/>
  <c r="AS174" i="1"/>
  <c r="AV173" i="1"/>
  <c r="AW173" i="1"/>
  <c r="BZ173" i="1"/>
  <c r="AV172" i="1"/>
  <c r="AT172" i="1"/>
  <c r="AT173" i="1" l="1"/>
  <c r="CH174" i="1"/>
  <c r="CE174" i="1"/>
  <c r="CG174" i="1"/>
  <c r="C176" i="1"/>
  <c r="A177" i="1"/>
  <c r="BY175" i="1"/>
  <c r="AR175" i="1"/>
  <c r="AS175" i="1"/>
  <c r="CC175" i="1"/>
  <c r="AN175" i="1"/>
  <c r="AV174" i="1" s="1"/>
  <c r="CD175" i="1"/>
  <c r="AW174" i="1"/>
  <c r="AT174" i="1" l="1"/>
  <c r="AW175" i="1"/>
  <c r="BZ175" i="1"/>
  <c r="AR176" i="1"/>
  <c r="AN176" i="1"/>
  <c r="AO176" i="1" s="1"/>
  <c r="CC176" i="1"/>
  <c r="CD176" i="1"/>
  <c r="BY176" i="1"/>
  <c r="BZ176" i="1" s="1"/>
  <c r="AS176" i="1"/>
  <c r="AO175" i="1"/>
  <c r="CE175" i="1"/>
  <c r="CG175" i="1"/>
  <c r="CH175" i="1"/>
  <c r="A178" i="1"/>
  <c r="C177" i="1"/>
  <c r="A179" i="1" l="1"/>
  <c r="C178" i="1"/>
  <c r="AW176" i="1"/>
  <c r="AT175" i="1"/>
  <c r="AV175" i="1"/>
  <c r="CE176" i="1"/>
  <c r="CH176" i="1"/>
  <c r="CG176" i="1"/>
  <c r="BY177" i="1"/>
  <c r="AS177" i="1"/>
  <c r="CC177" i="1"/>
  <c r="CD177" i="1"/>
  <c r="AN177" i="1"/>
  <c r="AR177" i="1"/>
  <c r="BZ177" i="1" l="1"/>
  <c r="CF177" i="1"/>
  <c r="CH177" i="1"/>
  <c r="CG177" i="1"/>
  <c r="AW177" i="1"/>
  <c r="AS178" i="1"/>
  <c r="AR178" i="1"/>
  <c r="BY178" i="1"/>
  <c r="AN178" i="1"/>
  <c r="CD178" i="1"/>
  <c r="CC178" i="1"/>
  <c r="AO177" i="1"/>
  <c r="AU177" i="1"/>
  <c r="C179" i="1"/>
  <c r="A180" i="1"/>
  <c r="AV176" i="1"/>
  <c r="AT176" i="1"/>
  <c r="AO178" i="1" l="1"/>
  <c r="AU178" i="1"/>
  <c r="C180" i="1"/>
  <c r="A181" i="1"/>
  <c r="AT177" i="1"/>
  <c r="BZ178" i="1"/>
  <c r="CF178" i="1"/>
  <c r="AV177" i="1"/>
  <c r="AN179" i="1"/>
  <c r="AO179" i="1" s="1"/>
  <c r="AS179" i="1"/>
  <c r="BY179" i="1"/>
  <c r="CC179" i="1"/>
  <c r="CD179" i="1"/>
  <c r="AR179" i="1"/>
  <c r="CG178" i="1"/>
  <c r="CH178" i="1"/>
  <c r="CE178" i="1"/>
  <c r="AW178" i="1"/>
  <c r="CE177" i="1"/>
  <c r="AV178" i="1" l="1"/>
  <c r="AT178" i="1"/>
  <c r="AT179" i="1"/>
  <c r="AW179" i="1"/>
  <c r="AV179" i="1"/>
  <c r="A182" i="1"/>
  <c r="C181" i="1"/>
  <c r="CE179" i="1"/>
  <c r="CH179" i="1"/>
  <c r="CD180" i="1"/>
  <c r="BY180" i="1"/>
  <c r="BZ180" i="1" s="1"/>
  <c r="AR180" i="1"/>
  <c r="AS180" i="1"/>
  <c r="AN180" i="1"/>
  <c r="CC180" i="1"/>
  <c r="BZ179" i="1"/>
  <c r="AW180" i="1" l="1"/>
  <c r="AV180" i="1"/>
  <c r="AT180" i="1"/>
  <c r="AO180" i="1"/>
  <c r="A183" i="1"/>
  <c r="C182" i="1"/>
  <c r="CG180" i="1"/>
  <c r="CE180" i="1"/>
  <c r="CH180" i="1"/>
  <c r="BY181" i="1"/>
  <c r="BZ181" i="1" s="1"/>
  <c r="CD181" i="1"/>
  <c r="AN181" i="1"/>
  <c r="AO181" i="1" s="1"/>
  <c r="AR181" i="1"/>
  <c r="AS181" i="1"/>
  <c r="CC181" i="1"/>
  <c r="BY182" i="1" l="1"/>
  <c r="BZ182" i="1" s="1"/>
  <c r="CD182" i="1"/>
  <c r="AR182" i="1"/>
  <c r="AN182" i="1"/>
  <c r="CC182" i="1"/>
  <c r="AS182" i="1"/>
  <c r="C183" i="1"/>
  <c r="A184" i="1"/>
  <c r="CE181" i="1"/>
  <c r="CH181" i="1"/>
  <c r="CG181" i="1"/>
  <c r="AW181" i="1"/>
  <c r="AT181" i="1"/>
  <c r="AV181" i="1"/>
  <c r="BY183" i="1" l="1"/>
  <c r="AS183" i="1"/>
  <c r="AR183" i="1"/>
  <c r="CD183" i="1"/>
  <c r="AN183" i="1"/>
  <c r="CC183" i="1"/>
  <c r="AO182" i="1"/>
  <c r="AT182" i="1"/>
  <c r="AV182" i="1"/>
  <c r="AW182" i="1"/>
  <c r="C184" i="1"/>
  <c r="A185" i="1"/>
  <c r="CE182" i="1"/>
  <c r="CG182" i="1"/>
  <c r="CH182" i="1"/>
  <c r="C185" i="1" l="1"/>
  <c r="A186" i="1"/>
  <c r="AT183" i="1"/>
  <c r="AW183" i="1"/>
  <c r="AV183" i="1"/>
  <c r="CG183" i="1"/>
  <c r="CE183" i="1"/>
  <c r="CH183" i="1"/>
  <c r="AR184" i="1"/>
  <c r="CC184" i="1"/>
  <c r="AN184" i="1"/>
  <c r="AS184" i="1"/>
  <c r="BY184" i="1"/>
  <c r="CD184" i="1"/>
  <c r="AO183" i="1"/>
  <c r="AU183" i="1"/>
  <c r="BZ183" i="1"/>
  <c r="CF183" i="1"/>
  <c r="CH184" i="1" l="1"/>
  <c r="CE184" i="1"/>
  <c r="CG184" i="1"/>
  <c r="AW184" i="1"/>
  <c r="AV184" i="1"/>
  <c r="AT184" i="1"/>
  <c r="C186" i="1"/>
  <c r="A187" i="1"/>
  <c r="BY185" i="1"/>
  <c r="CC185" i="1"/>
  <c r="AR185" i="1"/>
  <c r="CD185" i="1"/>
  <c r="AN185" i="1"/>
  <c r="AS185" i="1"/>
  <c r="BZ184" i="1"/>
  <c r="AO184" i="1"/>
  <c r="AV185" i="1" l="1"/>
  <c r="AW185" i="1"/>
  <c r="AT185" i="1"/>
  <c r="AO185" i="1"/>
  <c r="AU185" i="1"/>
  <c r="BZ185" i="1"/>
  <c r="CF185" i="1"/>
  <c r="C187" i="1"/>
  <c r="A188" i="1"/>
  <c r="AN186" i="1"/>
  <c r="CC186" i="1"/>
  <c r="BY186" i="1"/>
  <c r="AS186" i="1"/>
  <c r="CD186" i="1"/>
  <c r="AR186" i="1"/>
  <c r="CH185" i="1"/>
  <c r="CG185" i="1"/>
  <c r="CE185" i="1"/>
  <c r="C188" i="1" l="1"/>
  <c r="A189" i="1"/>
  <c r="BZ186" i="1"/>
  <c r="AR187" i="1"/>
  <c r="BY187" i="1"/>
  <c r="BZ187" i="1" s="1"/>
  <c r="CD187" i="1"/>
  <c r="AS187" i="1"/>
  <c r="AN187" i="1"/>
  <c r="CC187" i="1"/>
  <c r="AO186" i="1"/>
  <c r="AW186" i="1"/>
  <c r="AV186" i="1"/>
  <c r="AT186" i="1"/>
  <c r="CH186" i="1"/>
  <c r="CG186" i="1"/>
  <c r="CE186" i="1"/>
  <c r="CH187" i="1" l="1"/>
  <c r="CG187" i="1"/>
  <c r="CE187" i="1"/>
  <c r="AO187" i="1"/>
  <c r="AW187" i="1"/>
  <c r="AV187" i="1"/>
  <c r="AT187" i="1"/>
  <c r="C189" i="1"/>
  <c r="A190" i="1"/>
  <c r="AS188" i="1"/>
  <c r="CC188" i="1"/>
  <c r="AN188" i="1"/>
  <c r="AO188" i="1" s="1"/>
  <c r="AR188" i="1"/>
  <c r="BY188" i="1"/>
  <c r="CD188" i="1"/>
  <c r="AT188" i="1" l="1"/>
  <c r="AW188" i="1"/>
  <c r="AV188" i="1"/>
  <c r="BZ188" i="1"/>
  <c r="A191" i="1"/>
  <c r="C190" i="1"/>
  <c r="CH188" i="1"/>
  <c r="CE188" i="1"/>
  <c r="CG188" i="1"/>
  <c r="BY189" i="1"/>
  <c r="BZ189" i="1" s="1"/>
  <c r="CD189" i="1"/>
  <c r="AR189" i="1"/>
  <c r="AN189" i="1"/>
  <c r="CC189" i="1"/>
  <c r="AS189" i="1"/>
  <c r="AO189" i="1" l="1"/>
  <c r="A192" i="1"/>
  <c r="C191" i="1"/>
  <c r="AV189" i="1"/>
  <c r="AT189" i="1"/>
  <c r="AW189" i="1"/>
  <c r="CE189" i="1"/>
  <c r="CH189" i="1"/>
  <c r="CG189" i="1"/>
  <c r="BY190" i="1"/>
  <c r="AS190" i="1"/>
  <c r="CC190" i="1"/>
  <c r="CD190" i="1"/>
  <c r="AN190" i="1"/>
  <c r="AR190" i="1"/>
  <c r="AO190" i="1" l="1"/>
  <c r="AU190" i="1"/>
  <c r="BZ190" i="1"/>
  <c r="CF190" i="1"/>
  <c r="CD191" i="1"/>
  <c r="AN191" i="1"/>
  <c r="CC191" i="1"/>
  <c r="AS191" i="1"/>
  <c r="BY191" i="1"/>
  <c r="AR191" i="1"/>
  <c r="A193" i="1"/>
  <c r="C192" i="1"/>
  <c r="CE190" i="1"/>
  <c r="CH190" i="1"/>
  <c r="CG190" i="1"/>
  <c r="AT190" i="1"/>
  <c r="AW190" i="1"/>
  <c r="AV190" i="1"/>
  <c r="AS192" i="1" l="1"/>
  <c r="BY192" i="1"/>
  <c r="AR192" i="1"/>
  <c r="AN192" i="1"/>
  <c r="CC192" i="1"/>
  <c r="CD192" i="1"/>
  <c r="AT191" i="1"/>
  <c r="AV191" i="1"/>
  <c r="AW191" i="1"/>
  <c r="AO191" i="1"/>
  <c r="BZ191" i="1"/>
  <c r="A194" i="1"/>
  <c r="C193" i="1"/>
  <c r="CE191" i="1"/>
  <c r="CH191" i="1"/>
  <c r="CG191" i="1"/>
  <c r="AN193" i="1" l="1"/>
  <c r="AO193" i="1" s="1"/>
  <c r="CC193" i="1"/>
  <c r="AR193" i="1"/>
  <c r="CD193" i="1"/>
  <c r="BY193" i="1"/>
  <c r="AS193" i="1"/>
  <c r="AO192" i="1"/>
  <c r="AU192" i="1"/>
  <c r="AW192" i="1"/>
  <c r="AV192" i="1"/>
  <c r="AT192" i="1"/>
  <c r="C194" i="1"/>
  <c r="A195" i="1"/>
  <c r="BZ192" i="1"/>
  <c r="CF192" i="1"/>
  <c r="CE192" i="1"/>
  <c r="CH192" i="1"/>
  <c r="CU194" i="1" l="1"/>
  <c r="CU193" i="1"/>
  <c r="CU195" i="1"/>
  <c r="AV193" i="1"/>
  <c r="AT193" i="1"/>
  <c r="AW193" i="1"/>
  <c r="A196" i="1"/>
  <c r="C195" i="1"/>
  <c r="CR195" i="1"/>
  <c r="CR193" i="1"/>
  <c r="CR194" i="1"/>
  <c r="CE193" i="1"/>
  <c r="CG193" i="1"/>
  <c r="CH193" i="1"/>
  <c r="DE193" i="1"/>
  <c r="DE195" i="1"/>
  <c r="DE194" i="1"/>
  <c r="BY194" i="1"/>
  <c r="CC194" i="1"/>
  <c r="CD194" i="1"/>
  <c r="AN194" i="1"/>
  <c r="AR194" i="1"/>
  <c r="BZ193" i="1"/>
  <c r="AO194" i="1" l="1"/>
  <c r="DB195" i="1"/>
  <c r="DB193" i="1"/>
  <c r="DB194" i="1"/>
  <c r="CE194" i="1"/>
  <c r="CG194" i="1"/>
  <c r="CH194" i="1"/>
  <c r="DA195" i="1"/>
  <c r="DA193" i="1"/>
  <c r="DA194" i="1"/>
  <c r="AW194" i="1"/>
  <c r="AV194" i="1"/>
  <c r="AT194" i="1"/>
  <c r="CQ194" i="1"/>
  <c r="CQ193" i="1"/>
  <c r="CQ195" i="1"/>
  <c r="AN195" i="1"/>
  <c r="AO195" i="1" s="1"/>
  <c r="CC195" i="1"/>
  <c r="CD195" i="1"/>
  <c r="AR195" i="1"/>
  <c r="BY195" i="1"/>
  <c r="BZ195" i="1" s="1"/>
  <c r="AS195" i="1"/>
  <c r="BZ194" i="1"/>
  <c r="CG192" i="1"/>
  <c r="A197" i="1"/>
  <c r="C196" i="1"/>
  <c r="AV195" i="1" l="1"/>
  <c r="AT195" i="1"/>
  <c r="AW195" i="1"/>
  <c r="BY196" i="1"/>
  <c r="CC196" i="1"/>
  <c r="AN196" i="1"/>
  <c r="CD196" i="1"/>
  <c r="AS196" i="1"/>
  <c r="AR196" i="1"/>
  <c r="CG195" i="1"/>
  <c r="CE195" i="1"/>
  <c r="CH195" i="1"/>
  <c r="DF195" i="1"/>
  <c r="DF194" i="1"/>
  <c r="DF193" i="1"/>
  <c r="DC194" i="1"/>
  <c r="DC193" i="1"/>
  <c r="DC195" i="1"/>
  <c r="C197" i="1"/>
  <c r="A198" i="1"/>
  <c r="CW193" i="1"/>
  <c r="CW194" i="1"/>
  <c r="CW195" i="1"/>
  <c r="CS193" i="1"/>
  <c r="CS195" i="1"/>
  <c r="CS194" i="1"/>
  <c r="AT196" i="1" l="1"/>
  <c r="AW196" i="1"/>
  <c r="AV196" i="1"/>
  <c r="CH196" i="1"/>
  <c r="CG196" i="1"/>
  <c r="CE196" i="1"/>
  <c r="BZ196" i="1"/>
  <c r="C198" i="1"/>
  <c r="A199" i="1"/>
  <c r="CC197" i="1"/>
  <c r="BY197" i="1"/>
  <c r="AR197" i="1"/>
  <c r="AN197" i="1"/>
  <c r="CD197" i="1"/>
  <c r="AS197" i="1"/>
  <c r="AO196" i="1"/>
  <c r="BZ197" i="1" l="1"/>
  <c r="CF197" i="1"/>
  <c r="AW197" i="1"/>
  <c r="AT197" i="1"/>
  <c r="AV197" i="1"/>
  <c r="CE197" i="1"/>
  <c r="CG197" i="1"/>
  <c r="CH197" i="1"/>
  <c r="CC198" i="1"/>
  <c r="AS198" i="1"/>
  <c r="BY198" i="1"/>
  <c r="AR198" i="1"/>
  <c r="AN198" i="1"/>
  <c r="CD198" i="1"/>
  <c r="AO197" i="1"/>
  <c r="AU197" i="1"/>
  <c r="A200" i="1"/>
  <c r="C199" i="1"/>
  <c r="AT198" i="1" l="1"/>
  <c r="AV198" i="1"/>
  <c r="AW198" i="1"/>
  <c r="AS199" i="1"/>
  <c r="CD199" i="1"/>
  <c r="AN199" i="1"/>
  <c r="AR199" i="1"/>
  <c r="BY199" i="1"/>
  <c r="CC199" i="1"/>
  <c r="BZ198" i="1"/>
  <c r="A201" i="1"/>
  <c r="C200" i="1"/>
  <c r="AO198" i="1"/>
  <c r="CH198" i="1"/>
  <c r="CG198" i="1"/>
  <c r="CE198" i="1"/>
  <c r="BZ199" i="1" l="1"/>
  <c r="CF199" i="1"/>
  <c r="BY200" i="1"/>
  <c r="BZ200" i="1" s="1"/>
  <c r="CC200" i="1"/>
  <c r="AS200" i="1"/>
  <c r="AR200" i="1"/>
  <c r="AN200" i="1"/>
  <c r="CD200" i="1"/>
  <c r="AV199" i="1"/>
  <c r="AT199" i="1"/>
  <c r="AW199" i="1"/>
  <c r="AO199" i="1"/>
  <c r="AU199" i="1"/>
  <c r="A202" i="1"/>
  <c r="C201" i="1"/>
  <c r="CH199" i="1"/>
  <c r="CE199" i="1"/>
  <c r="CG199" i="1"/>
  <c r="AO200" i="1" l="1"/>
  <c r="AV200" i="1"/>
  <c r="AT200" i="1"/>
  <c r="AW200" i="1"/>
  <c r="BY201" i="1"/>
  <c r="AR201" i="1"/>
  <c r="AS201" i="1"/>
  <c r="AN201" i="1"/>
  <c r="AO201" i="1" s="1"/>
  <c r="CD201" i="1"/>
  <c r="CC201" i="1"/>
  <c r="C202" i="1"/>
  <c r="A203" i="1"/>
  <c r="CH200" i="1"/>
  <c r="CG200" i="1"/>
  <c r="CE200" i="1"/>
  <c r="CE201" i="1" l="1"/>
  <c r="CH201" i="1"/>
  <c r="CG201" i="1"/>
  <c r="AV201" i="1"/>
  <c r="AT201" i="1"/>
  <c r="AW201" i="1"/>
  <c r="A204" i="1"/>
  <c r="C203" i="1"/>
  <c r="BZ201" i="1"/>
  <c r="CC202" i="1"/>
  <c r="AN202" i="1"/>
  <c r="AO202" i="1" s="1"/>
  <c r="AR202" i="1"/>
  <c r="CD202" i="1"/>
  <c r="BY202" i="1"/>
  <c r="BZ202" i="1" s="1"/>
  <c r="AS202" i="1"/>
  <c r="AV202" i="1" l="1"/>
  <c r="AT202" i="1"/>
  <c r="AW202" i="1"/>
  <c r="C204" i="1"/>
  <c r="A205" i="1"/>
  <c r="CG202" i="1"/>
  <c r="CE202" i="1"/>
  <c r="CH202" i="1"/>
  <c r="CD203" i="1"/>
  <c r="AS203" i="1"/>
  <c r="BY203" i="1"/>
  <c r="CC203" i="1"/>
  <c r="AN203" i="1"/>
  <c r="AR203" i="1"/>
  <c r="AW203" i="1" l="1"/>
  <c r="AT203" i="1"/>
  <c r="AV203" i="1"/>
  <c r="AO203" i="1"/>
  <c r="CH203" i="1"/>
  <c r="CE203" i="1"/>
  <c r="CG203" i="1"/>
  <c r="BZ203" i="1"/>
  <c r="C205" i="1"/>
  <c r="A206" i="1"/>
  <c r="CD204" i="1"/>
  <c r="AR204" i="1"/>
  <c r="BY204" i="1"/>
  <c r="AS204" i="1"/>
  <c r="AN204" i="1"/>
  <c r="CC204" i="1"/>
  <c r="BY205" i="1" l="1"/>
  <c r="CD205" i="1"/>
  <c r="AS205" i="1"/>
  <c r="AN205" i="1"/>
  <c r="CC205" i="1"/>
  <c r="AR205" i="1"/>
  <c r="CG204" i="1"/>
  <c r="CE204" i="1"/>
  <c r="CH204" i="1"/>
  <c r="AW204" i="1"/>
  <c r="AV204" i="1"/>
  <c r="AT204" i="1"/>
  <c r="AO204" i="1"/>
  <c r="AU204" i="1"/>
  <c r="C206" i="1"/>
  <c r="A207" i="1"/>
  <c r="BZ204" i="1"/>
  <c r="CF204" i="1"/>
  <c r="A208" i="1" l="1"/>
  <c r="C207" i="1"/>
  <c r="AV205" i="1"/>
  <c r="AT205" i="1"/>
  <c r="AW205" i="1"/>
  <c r="AS206" i="1"/>
  <c r="AR206" i="1"/>
  <c r="BY206" i="1"/>
  <c r="CC206" i="1"/>
  <c r="AN206" i="1"/>
  <c r="CD206" i="1"/>
  <c r="CG205" i="1"/>
  <c r="CH205" i="1"/>
  <c r="CE205" i="1"/>
  <c r="BZ205" i="1"/>
  <c r="AO205" i="1"/>
  <c r="BZ206" i="1" l="1"/>
  <c r="CF206" i="1"/>
  <c r="CG206" i="1"/>
  <c r="CE206" i="1"/>
  <c r="CH206" i="1"/>
  <c r="C208" i="1"/>
  <c r="A209" i="1"/>
  <c r="AW206" i="1"/>
  <c r="AV206" i="1"/>
  <c r="AT206" i="1"/>
  <c r="AO206" i="1"/>
  <c r="AU206" i="1"/>
  <c r="AS207" i="1"/>
  <c r="AR207" i="1"/>
  <c r="BY207" i="1"/>
  <c r="CD207" i="1"/>
  <c r="AN207" i="1"/>
  <c r="CC207" i="1"/>
  <c r="CH207" i="1" l="1"/>
  <c r="CE207" i="1"/>
  <c r="AT207" i="1"/>
  <c r="AW207" i="1"/>
  <c r="AV207" i="1"/>
  <c r="C209" i="1"/>
  <c r="A210" i="1"/>
  <c r="BY208" i="1"/>
  <c r="BZ208" i="1" s="1"/>
  <c r="AS208" i="1"/>
  <c r="AR208" i="1"/>
  <c r="AN208" i="1"/>
  <c r="AO208" i="1" s="1"/>
  <c r="CC208" i="1"/>
  <c r="CD208" i="1"/>
  <c r="AO207" i="1"/>
  <c r="BZ207" i="1"/>
  <c r="CG207" i="1" l="1"/>
  <c r="AV208" i="1"/>
  <c r="AT208" i="1"/>
  <c r="AW208" i="1"/>
  <c r="CE208" i="1"/>
  <c r="CH208" i="1"/>
  <c r="A211" i="1"/>
  <c r="C210" i="1"/>
  <c r="AR209" i="1"/>
  <c r="BY209" i="1"/>
  <c r="CG208" i="1" s="1"/>
  <c r="CD209" i="1"/>
  <c r="CC209" i="1"/>
  <c r="AN209" i="1"/>
  <c r="AS209" i="1"/>
  <c r="CE209" i="1" l="1"/>
  <c r="CH209" i="1"/>
  <c r="AR210" i="1"/>
  <c r="BY210" i="1"/>
  <c r="BZ210" i="1" s="1"/>
  <c r="CC210" i="1"/>
  <c r="AS210" i="1"/>
  <c r="AN210" i="1"/>
  <c r="AO210" i="1" s="1"/>
  <c r="CD210" i="1"/>
  <c r="C211" i="1"/>
  <c r="A212" i="1"/>
  <c r="BZ209" i="1"/>
  <c r="AO209" i="1"/>
  <c r="AV209" i="1"/>
  <c r="AT209" i="1"/>
  <c r="AW209" i="1"/>
  <c r="CG209" i="1" l="1"/>
  <c r="AW210" i="1"/>
  <c r="AV210" i="1"/>
  <c r="AT210" i="1"/>
  <c r="AN211" i="1"/>
  <c r="CC211" i="1"/>
  <c r="AR211" i="1"/>
  <c r="BY211" i="1"/>
  <c r="CG210" i="1" s="1"/>
  <c r="CD211" i="1"/>
  <c r="AS211" i="1"/>
  <c r="A213" i="1"/>
  <c r="C212" i="1"/>
  <c r="CE210" i="1"/>
  <c r="CH210" i="1"/>
  <c r="AR212" i="1" l="1"/>
  <c r="CD212" i="1"/>
  <c r="AN212" i="1"/>
  <c r="AS212" i="1"/>
  <c r="BY212" i="1"/>
  <c r="CG211" i="1" s="1"/>
  <c r="CC212" i="1"/>
  <c r="BZ211" i="1"/>
  <c r="C213" i="1"/>
  <c r="A214" i="1"/>
  <c r="AW211" i="1"/>
  <c r="AV211" i="1"/>
  <c r="AT211" i="1"/>
  <c r="CE211" i="1"/>
  <c r="CH211" i="1"/>
  <c r="AO211" i="1"/>
  <c r="AO212" i="1" l="1"/>
  <c r="AU212" i="1"/>
  <c r="C214" i="1"/>
  <c r="A215" i="1"/>
  <c r="CG212" i="1"/>
  <c r="CH212" i="1"/>
  <c r="CE212" i="1"/>
  <c r="CD213" i="1"/>
  <c r="AR213" i="1"/>
  <c r="AN213" i="1"/>
  <c r="CC213" i="1"/>
  <c r="BY213" i="1"/>
  <c r="AS213" i="1"/>
  <c r="BZ212" i="1"/>
  <c r="CF212" i="1"/>
  <c r="AV212" i="1"/>
  <c r="AT212" i="1"/>
  <c r="AW212" i="1"/>
  <c r="CE213" i="1" l="1"/>
  <c r="CH213" i="1"/>
  <c r="CG213" i="1"/>
  <c r="AN214" i="1"/>
  <c r="AO214" i="1" s="1"/>
  <c r="AR214" i="1"/>
  <c r="CC214" i="1"/>
  <c r="CD214" i="1"/>
  <c r="BY214" i="1"/>
  <c r="BZ214" i="1" s="1"/>
  <c r="AS214" i="1"/>
  <c r="AO213" i="1"/>
  <c r="AU213" i="1"/>
  <c r="AW213" i="1"/>
  <c r="AT213" i="1"/>
  <c r="AV213" i="1"/>
  <c r="BZ213" i="1"/>
  <c r="CF213" i="1"/>
  <c r="C215" i="1"/>
  <c r="A216" i="1"/>
  <c r="AR215" i="1" l="1"/>
  <c r="AN215" i="1"/>
  <c r="AO215" i="1" s="1"/>
  <c r="CD215" i="1"/>
  <c r="BY215" i="1"/>
  <c r="BZ215" i="1" s="1"/>
  <c r="AS215" i="1"/>
  <c r="CC215" i="1"/>
  <c r="AV214" i="1"/>
  <c r="AW214" i="1"/>
  <c r="AT214" i="1"/>
  <c r="A217" i="1"/>
  <c r="C216" i="1"/>
  <c r="CH214" i="1"/>
  <c r="CG214" i="1"/>
  <c r="CE214" i="1"/>
  <c r="AR216" i="1" l="1"/>
  <c r="AN216" i="1"/>
  <c r="AO216" i="1" s="1"/>
  <c r="CC216" i="1"/>
  <c r="BY216" i="1"/>
  <c r="BZ216" i="1" s="1"/>
  <c r="AS216" i="1"/>
  <c r="CD216" i="1"/>
  <c r="CE215" i="1"/>
  <c r="CG215" i="1"/>
  <c r="CH215" i="1"/>
  <c r="C217" i="1"/>
  <c r="A218" i="1"/>
  <c r="AW215" i="1"/>
  <c r="AT215" i="1"/>
  <c r="AV215" i="1"/>
  <c r="AN217" i="1" l="1"/>
  <c r="CD217" i="1"/>
  <c r="CC217" i="1"/>
  <c r="AS217" i="1"/>
  <c r="BY217" i="1"/>
  <c r="AR217" i="1"/>
  <c r="CE216" i="1"/>
  <c r="CH216" i="1"/>
  <c r="CG216" i="1"/>
  <c r="C218" i="1"/>
  <c r="A219" i="1"/>
  <c r="AT216" i="1"/>
  <c r="AW216" i="1"/>
  <c r="AV216" i="1"/>
  <c r="AV217" i="1" l="1"/>
  <c r="AW217" i="1"/>
  <c r="AT217" i="1"/>
  <c r="CG217" i="1"/>
  <c r="CE217" i="1"/>
  <c r="CH217" i="1"/>
  <c r="C219" i="1"/>
  <c r="A220" i="1"/>
  <c r="AN218" i="1"/>
  <c r="AO218" i="1" s="1"/>
  <c r="CC218" i="1"/>
  <c r="CD218" i="1"/>
  <c r="AR218" i="1"/>
  <c r="BY218" i="1"/>
  <c r="BZ218" i="1" s="1"/>
  <c r="AS218" i="1"/>
  <c r="BZ217" i="1"/>
  <c r="AO217" i="1"/>
  <c r="AV218" i="1" l="1"/>
  <c r="AT218" i="1"/>
  <c r="AW218" i="1"/>
  <c r="A221" i="1"/>
  <c r="C220" i="1"/>
  <c r="CD219" i="1"/>
  <c r="AN219" i="1"/>
  <c r="CC219" i="1"/>
  <c r="AS219" i="1"/>
  <c r="BY219" i="1"/>
  <c r="AR219" i="1"/>
  <c r="CE218" i="1"/>
  <c r="CH218" i="1"/>
  <c r="CG218" i="1"/>
  <c r="BZ219" i="1" l="1"/>
  <c r="CF219" i="1"/>
  <c r="AR220" i="1"/>
  <c r="AN220" i="1"/>
  <c r="AO220" i="1" s="1"/>
  <c r="CC220" i="1"/>
  <c r="BY220" i="1"/>
  <c r="BZ220" i="1" s="1"/>
  <c r="AS220" i="1"/>
  <c r="CD220" i="1"/>
  <c r="CE219" i="1"/>
  <c r="CG219" i="1"/>
  <c r="CH219" i="1"/>
  <c r="AW219" i="1"/>
  <c r="AT219" i="1"/>
  <c r="AV219" i="1"/>
  <c r="AO219" i="1"/>
  <c r="AU219" i="1"/>
  <c r="A222" i="1"/>
  <c r="C221" i="1"/>
  <c r="C222" i="1" l="1"/>
  <c r="A223" i="1"/>
  <c r="BY221" i="1"/>
  <c r="BZ221" i="1" s="1"/>
  <c r="CD221" i="1"/>
  <c r="AR221" i="1"/>
  <c r="CC221" i="1"/>
  <c r="AN221" i="1"/>
  <c r="AS221" i="1"/>
  <c r="AT220" i="1"/>
  <c r="AV220" i="1"/>
  <c r="AW220" i="1"/>
  <c r="CG220" i="1"/>
  <c r="CE220" i="1"/>
  <c r="CH220" i="1"/>
  <c r="AV221" i="1" l="1"/>
  <c r="AT221" i="1"/>
  <c r="AW221" i="1"/>
  <c r="C223" i="1"/>
  <c r="A224" i="1"/>
  <c r="AO221" i="1"/>
  <c r="CH221" i="1"/>
  <c r="CG221" i="1"/>
  <c r="CE221" i="1"/>
  <c r="AN222" i="1"/>
  <c r="AO222" i="1" s="1"/>
  <c r="CC222" i="1"/>
  <c r="BY222" i="1"/>
  <c r="BZ222" i="1" s="1"/>
  <c r="AR222" i="1"/>
  <c r="CD222" i="1"/>
  <c r="AS222" i="1"/>
  <c r="AW222" i="1" l="1"/>
  <c r="AV222" i="1"/>
  <c r="AT222" i="1"/>
  <c r="A225" i="1"/>
  <c r="C224" i="1"/>
  <c r="CG222" i="1"/>
  <c r="CH222" i="1"/>
  <c r="CE222" i="1"/>
  <c r="AN223" i="1"/>
  <c r="AO223" i="1" s="1"/>
  <c r="BY223" i="1"/>
  <c r="BZ223" i="1" s="1"/>
  <c r="AS223" i="1"/>
  <c r="CC223" i="1"/>
  <c r="AN224" i="1"/>
  <c r="AO224" i="1" s="1"/>
  <c r="AR223" i="1"/>
  <c r="CD223" i="1"/>
  <c r="CH223" i="1" l="1"/>
  <c r="CG223" i="1"/>
  <c r="CE223" i="1"/>
  <c r="A226" i="1"/>
  <c r="C225" i="1"/>
  <c r="AW223" i="1"/>
  <c r="AV223" i="1"/>
  <c r="AT223" i="1"/>
  <c r="CC224" i="1"/>
  <c r="BY224" i="1"/>
  <c r="BZ224" i="1" s="1"/>
  <c r="CD224" i="1"/>
  <c r="AN225" i="1"/>
  <c r="AS224" i="1"/>
  <c r="AR224" i="1"/>
  <c r="AO225" i="1" l="1"/>
  <c r="AU225" i="1"/>
  <c r="A227" i="1"/>
  <c r="C226" i="1"/>
  <c r="AT224" i="1"/>
  <c r="AW224" i="1"/>
  <c r="AV224" i="1"/>
  <c r="CH224" i="1"/>
  <c r="CE224" i="1"/>
  <c r="CG224" i="1"/>
  <c r="BY225" i="1"/>
  <c r="CC225" i="1"/>
  <c r="CD225" i="1"/>
  <c r="AR225" i="1"/>
  <c r="AN226" i="1"/>
  <c r="AS225" i="1"/>
  <c r="AO226" i="1" l="1"/>
  <c r="BZ225" i="1"/>
  <c r="CF225" i="1"/>
  <c r="AW225" i="1"/>
  <c r="AV225" i="1"/>
  <c r="AT225" i="1"/>
  <c r="CG225" i="1"/>
  <c r="CE225" i="1"/>
  <c r="CH225" i="1"/>
  <c r="BY226" i="1"/>
  <c r="CC226" i="1"/>
  <c r="CD226" i="1"/>
  <c r="AR226" i="1"/>
  <c r="AN227" i="1"/>
  <c r="AS226" i="1"/>
  <c r="C227" i="1"/>
  <c r="A228" i="1"/>
  <c r="BZ226" i="1" l="1"/>
  <c r="C228" i="1"/>
  <c r="A229" i="1"/>
  <c r="AW226" i="1"/>
  <c r="AT226" i="1"/>
  <c r="AV226" i="1"/>
  <c r="AN228" i="1"/>
  <c r="CD227" i="1"/>
  <c r="AS227" i="1"/>
  <c r="AR227" i="1"/>
  <c r="BY227" i="1"/>
  <c r="CC227" i="1"/>
  <c r="CG226" i="1"/>
  <c r="CE226" i="1"/>
  <c r="CH226" i="1"/>
  <c r="AO227" i="1"/>
  <c r="AU227" i="1"/>
  <c r="AO228" i="1" l="1"/>
  <c r="CG227" i="1"/>
  <c r="CH227" i="1"/>
  <c r="CE227" i="1"/>
  <c r="BZ227" i="1"/>
  <c r="CF227" i="1"/>
  <c r="A230" i="1"/>
  <c r="C229" i="1"/>
  <c r="AT227" i="1"/>
  <c r="AW227" i="1"/>
  <c r="AV227" i="1"/>
  <c r="BY228" i="1"/>
  <c r="BZ228" i="1" s="1"/>
  <c r="CC228" i="1"/>
  <c r="AS228" i="1"/>
  <c r="AN229" i="1"/>
  <c r="AO229" i="1" s="1"/>
  <c r="CD228" i="1"/>
  <c r="AR228" i="1"/>
  <c r="AW228" i="1" l="1"/>
  <c r="AT228" i="1"/>
  <c r="AV228" i="1"/>
  <c r="CG228" i="1"/>
  <c r="CE228" i="1"/>
  <c r="CH228" i="1"/>
  <c r="AN230" i="1"/>
  <c r="AO230" i="1" s="1"/>
  <c r="AR229" i="1"/>
  <c r="CC229" i="1"/>
  <c r="BY229" i="1"/>
  <c r="BZ229" i="1" s="1"/>
  <c r="AS229" i="1"/>
  <c r="CD229" i="1"/>
  <c r="A231" i="1"/>
  <c r="C230" i="1"/>
  <c r="C231" i="1" l="1"/>
  <c r="A232" i="1"/>
  <c r="CE229" i="1"/>
  <c r="CH229" i="1"/>
  <c r="CG229" i="1"/>
  <c r="AW229" i="1"/>
  <c r="AV229" i="1"/>
  <c r="AT229" i="1"/>
  <c r="AN231" i="1"/>
  <c r="AO231" i="1" s="1"/>
  <c r="CC230" i="1"/>
  <c r="AR230" i="1"/>
  <c r="BY230" i="1"/>
  <c r="BZ230" i="1" s="1"/>
  <c r="CD230" i="1"/>
  <c r="AS230" i="1"/>
  <c r="C232" i="1" l="1"/>
  <c r="A233" i="1"/>
  <c r="AV230" i="1"/>
  <c r="AT230" i="1"/>
  <c r="AW230" i="1"/>
  <c r="CE230" i="1"/>
  <c r="CH230" i="1"/>
  <c r="CG230" i="1"/>
  <c r="BY231" i="1"/>
  <c r="BZ231" i="1" s="1"/>
  <c r="CD231" i="1"/>
  <c r="AS231" i="1"/>
  <c r="AN232" i="1"/>
  <c r="AR231" i="1"/>
  <c r="CC231" i="1"/>
  <c r="AO232" i="1" l="1"/>
  <c r="AU232" i="1"/>
  <c r="C233" i="1"/>
  <c r="A234" i="1"/>
  <c r="CG231" i="1"/>
  <c r="CE231" i="1"/>
  <c r="CH231" i="1"/>
  <c r="AT231" i="1"/>
  <c r="AW231" i="1"/>
  <c r="AV231" i="1"/>
  <c r="BY232" i="1"/>
  <c r="AR232" i="1"/>
  <c r="AN233" i="1"/>
  <c r="CD232" i="1"/>
  <c r="AS232" i="1"/>
  <c r="CC232" i="1"/>
  <c r="AO233" i="1" l="1"/>
  <c r="CH232" i="1"/>
  <c r="CE232" i="1"/>
  <c r="CG232" i="1"/>
  <c r="AV232" i="1"/>
  <c r="AT232" i="1"/>
  <c r="AW232" i="1"/>
  <c r="C234" i="1"/>
  <c r="A235" i="1"/>
  <c r="BZ232" i="1"/>
  <c r="CF232" i="1"/>
  <c r="CC233" i="1"/>
  <c r="BY233" i="1"/>
  <c r="AR233" i="1"/>
  <c r="AS233" i="1"/>
  <c r="AN234" i="1"/>
  <c r="CD233" i="1"/>
  <c r="BZ233" i="1" l="1"/>
  <c r="C235" i="1"/>
  <c r="A236" i="1"/>
  <c r="AO234" i="1"/>
  <c r="AU234" i="1"/>
  <c r="CH233" i="1"/>
  <c r="CG233" i="1"/>
  <c r="CE233" i="1"/>
  <c r="AN235" i="1"/>
  <c r="AO235" i="1" s="1"/>
  <c r="AS234" i="1"/>
  <c r="BY234" i="1"/>
  <c r="AR234" i="1"/>
  <c r="CC234" i="1"/>
  <c r="CD234" i="1"/>
  <c r="AT233" i="1"/>
  <c r="AV233" i="1"/>
  <c r="AW233" i="1"/>
  <c r="CH234" i="1" l="1"/>
  <c r="CE234" i="1"/>
  <c r="CG234" i="1"/>
  <c r="BZ234" i="1"/>
  <c r="CF234" i="1"/>
  <c r="C236" i="1"/>
  <c r="A237" i="1"/>
  <c r="AT234" i="1"/>
  <c r="AV234" i="1"/>
  <c r="AW234" i="1"/>
  <c r="CC235" i="1"/>
  <c r="BY235" i="1"/>
  <c r="BZ235" i="1" s="1"/>
  <c r="AR235" i="1"/>
  <c r="CD235" i="1"/>
  <c r="AN236" i="1"/>
  <c r="AO236" i="1" s="1"/>
  <c r="AS235" i="1"/>
  <c r="C237" i="1" l="1"/>
  <c r="A238" i="1"/>
  <c r="CG235" i="1"/>
  <c r="CE235" i="1"/>
  <c r="CH235" i="1"/>
  <c r="CC236" i="1"/>
  <c r="BY236" i="1"/>
  <c r="BZ236" i="1" s="1"/>
  <c r="AR236" i="1"/>
  <c r="CD236" i="1"/>
  <c r="AN237" i="1"/>
  <c r="AO237" i="1" s="1"/>
  <c r="AS236" i="1"/>
  <c r="AV235" i="1"/>
  <c r="AT235" i="1"/>
  <c r="AW235" i="1"/>
  <c r="AV236" i="1" l="1"/>
  <c r="AT236" i="1"/>
  <c r="AW236" i="1"/>
  <c r="CG236" i="1"/>
  <c r="CE236" i="1"/>
  <c r="CH236" i="1"/>
  <c r="A239" i="1"/>
  <c r="C238" i="1"/>
  <c r="BY237" i="1"/>
  <c r="BZ237" i="1" s="1"/>
  <c r="CD237" i="1"/>
  <c r="AS237" i="1"/>
  <c r="AR237" i="1"/>
  <c r="CC237" i="1"/>
  <c r="AN238" i="1"/>
  <c r="CG237" i="1" l="1"/>
  <c r="CE237" i="1"/>
  <c r="CH237" i="1"/>
  <c r="AV237" i="1"/>
  <c r="AT237" i="1"/>
  <c r="AW237" i="1"/>
  <c r="AN239" i="1"/>
  <c r="AO239" i="1" s="1"/>
  <c r="CD238" i="1"/>
  <c r="CC238" i="1"/>
  <c r="AR238" i="1"/>
  <c r="BY238" i="1"/>
  <c r="AS238" i="1"/>
  <c r="C239" i="1"/>
  <c r="A240" i="1"/>
  <c r="AO238" i="1"/>
  <c r="AU238" i="1"/>
  <c r="BZ238" i="1" l="1"/>
  <c r="CF238" i="1"/>
  <c r="C240" i="1"/>
  <c r="A241" i="1"/>
  <c r="AV238" i="1"/>
  <c r="AT238" i="1"/>
  <c r="AW238" i="1"/>
  <c r="BY239" i="1"/>
  <c r="BZ239" i="1" s="1"/>
  <c r="AN240" i="1"/>
  <c r="AO240" i="1" s="1"/>
  <c r="AR239" i="1"/>
  <c r="CD239" i="1"/>
  <c r="AS239" i="1"/>
  <c r="CC239" i="1"/>
  <c r="CG238" i="1"/>
  <c r="CE238" i="1"/>
  <c r="CH238" i="1"/>
  <c r="CE239" i="1" l="1"/>
  <c r="CG239" i="1"/>
  <c r="CH239" i="1"/>
  <c r="C241" i="1"/>
  <c r="A242" i="1"/>
  <c r="AN241" i="1"/>
  <c r="AO241" i="1" s="1"/>
  <c r="BY240" i="1"/>
  <c r="BZ240" i="1" s="1"/>
  <c r="AR240" i="1"/>
  <c r="CC240" i="1"/>
  <c r="AS240" i="1"/>
  <c r="CD240" i="1"/>
  <c r="AW239" i="1"/>
  <c r="AV239" i="1"/>
  <c r="AT239" i="1"/>
  <c r="CG240" i="1" l="1"/>
  <c r="CH240" i="1"/>
  <c r="CE240" i="1"/>
  <c r="C242" i="1"/>
  <c r="A243" i="1"/>
  <c r="AV240" i="1"/>
  <c r="AT240" i="1"/>
  <c r="AW240" i="1"/>
  <c r="BY241" i="1"/>
  <c r="BZ241" i="1" s="1"/>
  <c r="AN242" i="1"/>
  <c r="AO242" i="1" s="1"/>
  <c r="AS241" i="1"/>
  <c r="CD241" i="1"/>
  <c r="CC241" i="1"/>
  <c r="AR241" i="1"/>
  <c r="CG241" i="1" l="1"/>
  <c r="CH241" i="1"/>
  <c r="CE241" i="1"/>
  <c r="A244" i="1"/>
  <c r="C243" i="1"/>
  <c r="BY242" i="1"/>
  <c r="BZ242" i="1" s="1"/>
  <c r="AN243" i="1"/>
  <c r="AO243" i="1" s="1"/>
  <c r="CC242" i="1"/>
  <c r="AR242" i="1"/>
  <c r="CD242" i="1"/>
  <c r="AS242" i="1"/>
  <c r="AV241" i="1"/>
  <c r="AT241" i="1"/>
  <c r="AW241" i="1"/>
  <c r="AV242" i="1" l="1"/>
  <c r="AT242" i="1"/>
  <c r="AW242" i="1"/>
  <c r="BY243" i="1"/>
  <c r="BZ243" i="1" s="1"/>
  <c r="AN244" i="1"/>
  <c r="AO244" i="1" s="1"/>
  <c r="CD243" i="1"/>
  <c r="AR243" i="1"/>
  <c r="CC243" i="1"/>
  <c r="AS243" i="1"/>
  <c r="CE242" i="1"/>
  <c r="CG242" i="1"/>
  <c r="CH242" i="1"/>
  <c r="A245" i="1"/>
  <c r="C244" i="1"/>
  <c r="C245" i="1" l="1"/>
  <c r="A246" i="1"/>
  <c r="CE243" i="1"/>
  <c r="CG243" i="1"/>
  <c r="CH243" i="1"/>
  <c r="AW243" i="1"/>
  <c r="AV243" i="1"/>
  <c r="AT243" i="1"/>
  <c r="BY244" i="1"/>
  <c r="BZ244" i="1" s="1"/>
  <c r="AN245" i="1"/>
  <c r="CD244" i="1"/>
  <c r="AS244" i="1"/>
  <c r="CC244" i="1"/>
  <c r="AR244" i="1"/>
  <c r="AO245" i="1" l="1"/>
  <c r="AV244" i="1"/>
  <c r="AT244" i="1"/>
  <c r="AW244" i="1"/>
  <c r="A247" i="1"/>
  <c r="C246" i="1"/>
  <c r="AN247" i="1" s="1"/>
  <c r="CG244" i="1"/>
  <c r="CH244" i="1"/>
  <c r="CE244" i="1"/>
  <c r="BY245" i="1"/>
  <c r="AN246" i="1"/>
  <c r="AR245" i="1"/>
  <c r="CC245" i="1"/>
  <c r="AS245" i="1"/>
  <c r="CD245" i="1"/>
  <c r="AU246" i="1" l="1"/>
  <c r="BZ245" i="1"/>
  <c r="AO247" i="1"/>
  <c r="C247" i="1"/>
  <c r="A248" i="1"/>
  <c r="CG245" i="1"/>
  <c r="CH245" i="1"/>
  <c r="CE245" i="1"/>
  <c r="AV245" i="1"/>
  <c r="AT245" i="1"/>
  <c r="AW245" i="1"/>
  <c r="AO246" i="1"/>
  <c r="BY246" i="1"/>
  <c r="CF246" i="1" s="1"/>
  <c r="CC246" i="1"/>
  <c r="AR246" i="1"/>
  <c r="AS246" i="1"/>
  <c r="CD246" i="1"/>
  <c r="BY247" i="1" l="1"/>
  <c r="CG246" i="1" s="1"/>
  <c r="AN248" i="1"/>
  <c r="AS247" i="1"/>
  <c r="CD247" i="1"/>
  <c r="AR247" i="1"/>
  <c r="CC247" i="1"/>
  <c r="AV246" i="1"/>
  <c r="AT246" i="1"/>
  <c r="AW246" i="1"/>
  <c r="CE246" i="1"/>
  <c r="CH246" i="1"/>
  <c r="C248" i="1"/>
  <c r="A249" i="1"/>
  <c r="BZ246" i="1"/>
  <c r="CE247" i="1" l="1"/>
  <c r="AW247" i="1"/>
  <c r="AT247" i="1"/>
  <c r="AV247" i="1"/>
  <c r="BZ247" i="1"/>
  <c r="CH247" i="1"/>
  <c r="CG247" i="1"/>
  <c r="AO248" i="1"/>
  <c r="AN249" i="1"/>
  <c r="AO249" i="1" s="1"/>
  <c r="CD248" i="1"/>
  <c r="BY248" i="1"/>
  <c r="CC248" i="1"/>
  <c r="AS248" i="1"/>
  <c r="AR248" i="1"/>
  <c r="C249" i="1"/>
  <c r="A250" i="1"/>
  <c r="BZ248" i="1" l="1"/>
  <c r="AW248" i="1"/>
  <c r="AV248" i="1"/>
  <c r="AT248" i="1"/>
  <c r="CG248" i="1"/>
  <c r="CH248" i="1"/>
  <c r="CE248" i="1"/>
  <c r="C250" i="1"/>
  <c r="A251" i="1"/>
  <c r="BY249" i="1"/>
  <c r="AN250" i="1"/>
  <c r="AR249" i="1"/>
  <c r="AS249" i="1"/>
  <c r="CC249" i="1"/>
  <c r="CD249" i="1"/>
  <c r="CG249" i="1" l="1"/>
  <c r="CE249" i="1"/>
  <c r="AV249" i="1"/>
  <c r="AT249" i="1"/>
  <c r="AO250" i="1"/>
  <c r="CH249" i="1"/>
  <c r="AW249" i="1"/>
  <c r="BZ249" i="1"/>
  <c r="C251" i="1"/>
  <c r="A252" i="1"/>
  <c r="AN251" i="1"/>
  <c r="BY250" i="1"/>
  <c r="AR250" i="1"/>
  <c r="CD250" i="1"/>
  <c r="AS250" i="1"/>
  <c r="CC250" i="1"/>
  <c r="CH250" i="1" l="1"/>
  <c r="CG250" i="1"/>
  <c r="CE250" i="1"/>
  <c r="AW250" i="1"/>
  <c r="AV250" i="1"/>
  <c r="AT250" i="1"/>
  <c r="AO251" i="1"/>
  <c r="BZ250" i="1"/>
  <c r="C252" i="1"/>
  <c r="A253" i="1"/>
  <c r="AN252" i="1"/>
  <c r="AO252" i="1" s="1"/>
  <c r="BY251" i="1"/>
  <c r="BZ251" i="1" s="1"/>
  <c r="AR251" i="1"/>
  <c r="AS251" i="1"/>
  <c r="CC251" i="1"/>
  <c r="CD251" i="1"/>
  <c r="CG251" i="1" l="1"/>
  <c r="CE251" i="1"/>
  <c r="AW251" i="1"/>
  <c r="AV251" i="1"/>
  <c r="AT251" i="1"/>
  <c r="CH251" i="1"/>
  <c r="C253" i="1"/>
  <c r="A254" i="1"/>
  <c r="BY252" i="1"/>
  <c r="BZ252" i="1" s="1"/>
  <c r="AN253" i="1"/>
  <c r="AO253" i="1" s="1"/>
  <c r="CD252" i="1"/>
  <c r="AS252" i="1"/>
  <c r="AR252" i="1"/>
  <c r="CC252" i="1"/>
  <c r="AV252" i="1" l="1"/>
  <c r="AT252" i="1"/>
  <c r="CG252" i="1"/>
  <c r="CE252" i="1"/>
  <c r="AW252" i="1"/>
  <c r="CH252" i="1"/>
  <c r="C254" i="1"/>
  <c r="A255" i="1"/>
  <c r="BY253" i="1"/>
  <c r="BZ253" i="1" s="1"/>
  <c r="AN254" i="1"/>
  <c r="AR253" i="1"/>
  <c r="AS253" i="1"/>
  <c r="CC253" i="1"/>
  <c r="CD253" i="1"/>
  <c r="CG253" i="1" l="1"/>
  <c r="CE253" i="1"/>
  <c r="AV253" i="1"/>
  <c r="AT253" i="1"/>
  <c r="CH253" i="1"/>
  <c r="AW253" i="1"/>
  <c r="AO254" i="1"/>
  <c r="A256" i="1"/>
  <c r="C255" i="1"/>
  <c r="AN255" i="1"/>
  <c r="BY254" i="1"/>
  <c r="BZ254" i="1" s="1"/>
  <c r="CC254" i="1"/>
  <c r="AS254" i="1"/>
  <c r="CD254" i="1"/>
  <c r="AR254" i="1"/>
  <c r="CG254" i="1" l="1"/>
  <c r="CE254" i="1"/>
  <c r="AO255" i="1"/>
  <c r="AU255" i="1"/>
  <c r="AW254" i="1"/>
  <c r="AV254" i="1"/>
  <c r="AT254" i="1"/>
  <c r="BY255" i="1"/>
  <c r="AN256" i="1"/>
  <c r="AO256" i="1" s="1"/>
  <c r="CC255" i="1"/>
  <c r="AR255" i="1"/>
  <c r="CD255" i="1"/>
  <c r="AS255" i="1"/>
  <c r="CH254" i="1"/>
  <c r="A257" i="1"/>
  <c r="C256" i="1"/>
  <c r="CG255" i="1" l="1"/>
  <c r="CE255" i="1"/>
  <c r="AV255" i="1"/>
  <c r="AT255" i="1"/>
  <c r="BZ255" i="1"/>
  <c r="CF255" i="1"/>
  <c r="AW255" i="1"/>
  <c r="CH255" i="1"/>
  <c r="AN257" i="1"/>
  <c r="AO257" i="1" s="1"/>
  <c r="BY256" i="1"/>
  <c r="BZ256" i="1" s="1"/>
  <c r="CD256" i="1"/>
  <c r="AS256" i="1"/>
  <c r="CC256" i="1"/>
  <c r="AR256" i="1"/>
  <c r="A258" i="1"/>
  <c r="C257" i="1"/>
  <c r="CG256" i="1" l="1"/>
  <c r="CE256" i="1"/>
  <c r="AT256" i="1"/>
  <c r="AV256" i="1"/>
  <c r="CH256" i="1"/>
  <c r="AW256" i="1"/>
  <c r="BY257" i="1"/>
  <c r="AN258" i="1"/>
  <c r="CC257" i="1"/>
  <c r="AS257" i="1"/>
  <c r="AR257" i="1"/>
  <c r="CD257" i="1"/>
  <c r="A259" i="1"/>
  <c r="C258" i="1"/>
  <c r="AV257" i="1" l="1"/>
  <c r="AT257" i="1"/>
  <c r="CG257" i="1"/>
  <c r="CE257" i="1"/>
  <c r="AW257" i="1"/>
  <c r="CH257" i="1"/>
  <c r="BZ257" i="1"/>
  <c r="AO258" i="1"/>
  <c r="BY258" i="1"/>
  <c r="AN259" i="1"/>
  <c r="AR258" i="1"/>
  <c r="CC258" i="1"/>
  <c r="AS258" i="1"/>
  <c r="CD258" i="1"/>
  <c r="A260" i="1"/>
  <c r="C259" i="1"/>
  <c r="CE258" i="1" l="1"/>
  <c r="CG258" i="1"/>
  <c r="AW258" i="1"/>
  <c r="AV258" i="1"/>
  <c r="AT258" i="1"/>
  <c r="CH258" i="1"/>
  <c r="AO259" i="1"/>
  <c r="BZ258" i="1"/>
  <c r="BY259" i="1"/>
  <c r="AN260" i="1"/>
  <c r="AO260" i="1" s="1"/>
  <c r="CC259" i="1"/>
  <c r="CD259" i="1"/>
  <c r="AR259" i="1"/>
  <c r="AS259" i="1"/>
  <c r="A261" i="1"/>
  <c r="C260" i="1"/>
  <c r="AW259" i="1" l="1"/>
  <c r="AV259" i="1"/>
  <c r="AT259" i="1"/>
  <c r="CH259" i="1"/>
  <c r="CG259" i="1"/>
  <c r="CE259" i="1"/>
  <c r="BZ259" i="1"/>
  <c r="A262" i="1"/>
  <c r="C261" i="1"/>
  <c r="AN262" i="1" s="1"/>
  <c r="AN261" i="1"/>
  <c r="BY260" i="1"/>
  <c r="CC260" i="1"/>
  <c r="AR260" i="1"/>
  <c r="CD260" i="1"/>
  <c r="AS260" i="1"/>
  <c r="AU261" i="1" l="1"/>
  <c r="CH260" i="1"/>
  <c r="CE260" i="1"/>
  <c r="CG260" i="1"/>
  <c r="AV260" i="1"/>
  <c r="AT260" i="1"/>
  <c r="A263" i="1"/>
  <c r="C262" i="1"/>
  <c r="AU262" i="1" s="1"/>
  <c r="AO262" i="1"/>
  <c r="AW260" i="1"/>
  <c r="AO261" i="1"/>
  <c r="BZ260" i="1"/>
  <c r="BY261" i="1"/>
  <c r="CF261" i="1" s="1"/>
  <c r="AR261" i="1"/>
  <c r="CD261" i="1"/>
  <c r="CC261" i="1"/>
  <c r="AS261" i="1"/>
  <c r="CU266" i="1" l="1"/>
  <c r="CU268" i="1"/>
  <c r="A264" i="1"/>
  <c r="C263" i="1"/>
  <c r="CG261" i="1"/>
  <c r="CE261" i="1"/>
  <c r="AV261" i="1"/>
  <c r="AT261" i="1"/>
  <c r="BY262" i="1"/>
  <c r="AN263" i="1"/>
  <c r="AO263" i="1" s="1"/>
  <c r="CD262" i="1"/>
  <c r="AS262" i="1"/>
  <c r="CC262" i="1"/>
  <c r="AR262" i="1"/>
  <c r="CU267" i="1"/>
  <c r="BZ261" i="1"/>
  <c r="CH261" i="1"/>
  <c r="AW261" i="1"/>
  <c r="AW262" i="1" l="1"/>
  <c r="AV262" i="1"/>
  <c r="AT262" i="1"/>
  <c r="AN264" i="1"/>
  <c r="AO264" i="1" s="1"/>
  <c r="BY263" i="1"/>
  <c r="BZ263" i="1" s="1"/>
  <c r="AR263" i="1"/>
  <c r="CC263" i="1"/>
  <c r="AS263" i="1"/>
  <c r="CD263" i="1"/>
  <c r="CE262" i="1"/>
  <c r="CG262" i="1"/>
  <c r="CH262" i="1"/>
  <c r="BZ262" i="1"/>
  <c r="CF262" i="1"/>
  <c r="A265" i="1"/>
  <c r="C264" i="1"/>
  <c r="A266" i="1" l="1"/>
  <c r="C265" i="1"/>
  <c r="CG263" i="1"/>
  <c r="CE263" i="1"/>
  <c r="CH263" i="1"/>
  <c r="CC264" i="1"/>
  <c r="AN265" i="1"/>
  <c r="AO265" i="1" s="1"/>
  <c r="BY264" i="1"/>
  <c r="BZ264" i="1" s="1"/>
  <c r="CD264" i="1"/>
  <c r="AR264" i="1"/>
  <c r="AS264" i="1"/>
  <c r="DE267" i="1"/>
  <c r="DE268" i="1"/>
  <c r="DE266" i="1"/>
  <c r="AW263" i="1"/>
  <c r="AV263" i="1"/>
  <c r="AT263" i="1"/>
  <c r="A267" i="1" l="1"/>
  <c r="C266" i="1"/>
  <c r="AW264" i="1"/>
  <c r="AV264" i="1"/>
  <c r="AT264" i="1"/>
  <c r="CE264" i="1"/>
  <c r="CG264" i="1"/>
  <c r="CH264" i="1"/>
  <c r="AN266" i="1"/>
  <c r="AO266" i="1" s="1"/>
  <c r="BY265" i="1"/>
  <c r="BZ265" i="1" s="1"/>
  <c r="CD265" i="1"/>
  <c r="AS265" i="1"/>
  <c r="CC265" i="1"/>
  <c r="AR265" i="1"/>
  <c r="CG265" i="1" l="1"/>
  <c r="CE265" i="1"/>
  <c r="CH265" i="1"/>
  <c r="A268" i="1"/>
  <c r="C267" i="1"/>
  <c r="AW265" i="1"/>
  <c r="AT265" i="1"/>
  <c r="AV265" i="1"/>
  <c r="CC266" i="1"/>
  <c r="AN267" i="1"/>
  <c r="AO267" i="1" s="1"/>
  <c r="BY266" i="1"/>
  <c r="BZ266" i="1" s="1"/>
  <c r="AR266" i="1"/>
  <c r="CD266" i="1"/>
  <c r="AS266" i="1"/>
  <c r="CE266" i="1" l="1"/>
  <c r="CG266" i="1"/>
  <c r="CH266" i="1"/>
  <c r="CD267" i="1"/>
  <c r="AN268" i="1"/>
  <c r="AO268" i="1" s="1"/>
  <c r="BY267" i="1"/>
  <c r="BZ267" i="1" s="1"/>
  <c r="AS267" i="1"/>
  <c r="AR267" i="1"/>
  <c r="CC267" i="1"/>
  <c r="AW266" i="1"/>
  <c r="AV266" i="1"/>
  <c r="AT266" i="1"/>
  <c r="A269" i="1"/>
  <c r="C268" i="1"/>
  <c r="AN269" i="1" l="1"/>
  <c r="AO269" i="1" s="1"/>
  <c r="BY268" i="1"/>
  <c r="BZ268" i="1" s="1"/>
  <c r="CC268" i="1"/>
  <c r="DA267" i="1" s="1"/>
  <c r="AR268" i="1"/>
  <c r="CQ266" i="1" s="1"/>
  <c r="CD268" i="1"/>
  <c r="AS268" i="1"/>
  <c r="AW267" i="1"/>
  <c r="AT267" i="1"/>
  <c r="AV267" i="1"/>
  <c r="C269" i="1"/>
  <c r="A270" i="1"/>
  <c r="CG267" i="1"/>
  <c r="CE267" i="1"/>
  <c r="CH267" i="1"/>
  <c r="DA268" i="1"/>
  <c r="A271" i="1" l="1"/>
  <c r="C270" i="1"/>
  <c r="CR266" i="1"/>
  <c r="CR267" i="1"/>
  <c r="AV268" i="1"/>
  <c r="CW267" i="1" s="1"/>
  <c r="AT268" i="1"/>
  <c r="AW268" i="1"/>
  <c r="CQ268" i="1"/>
  <c r="CQ267" i="1"/>
  <c r="CS267" i="1"/>
  <c r="AN270" i="1"/>
  <c r="AO270" i="1" s="1"/>
  <c r="BY269" i="1"/>
  <c r="BZ269" i="1" s="1"/>
  <c r="CC269" i="1"/>
  <c r="AR269" i="1"/>
  <c r="CD269" i="1"/>
  <c r="AS269" i="1"/>
  <c r="DB268" i="1"/>
  <c r="DB267" i="1"/>
  <c r="DB266" i="1"/>
  <c r="CE268" i="1"/>
  <c r="DC267" i="1" s="1"/>
  <c r="CG268" i="1"/>
  <c r="DF266" i="1" s="1"/>
  <c r="CH268" i="1"/>
  <c r="DA266" i="1"/>
  <c r="CR268" i="1"/>
  <c r="AT269" i="1" l="1"/>
  <c r="AV269" i="1"/>
  <c r="AW269" i="1"/>
  <c r="CS268" i="1"/>
  <c r="CS266" i="1"/>
  <c r="BY270" i="1"/>
  <c r="BZ270" i="1" s="1"/>
  <c r="AN271" i="1"/>
  <c r="AO271" i="1" s="1"/>
  <c r="CD270" i="1"/>
  <c r="AR270" i="1"/>
  <c r="CC270" i="1"/>
  <c r="AS270" i="1"/>
  <c r="DF267" i="1"/>
  <c r="DF268" i="1"/>
  <c r="DC268" i="1"/>
  <c r="DC266" i="1"/>
  <c r="CG269" i="1"/>
  <c r="CE269" i="1"/>
  <c r="CH269" i="1"/>
  <c r="CW266" i="1"/>
  <c r="CW268" i="1"/>
  <c r="A272" i="1"/>
  <c r="C271" i="1"/>
  <c r="AN272" i="1" l="1"/>
  <c r="AO272" i="1" s="1"/>
  <c r="BY271" i="1"/>
  <c r="BZ271" i="1" s="1"/>
  <c r="AS271" i="1"/>
  <c r="CD271" i="1"/>
  <c r="AR271" i="1"/>
  <c r="CC271" i="1"/>
  <c r="A273" i="1"/>
  <c r="C272" i="1"/>
  <c r="AV270" i="1"/>
  <c r="AT270" i="1"/>
  <c r="AW270" i="1"/>
  <c r="CE270" i="1"/>
  <c r="CG270" i="1"/>
  <c r="CH270" i="1"/>
  <c r="BY272" i="1" l="1"/>
  <c r="BZ272" i="1" s="1"/>
  <c r="AN273" i="1"/>
  <c r="AO273" i="1" s="1"/>
  <c r="AR272" i="1"/>
  <c r="CC272" i="1"/>
  <c r="AS272" i="1"/>
  <c r="CD272" i="1"/>
  <c r="CG271" i="1"/>
  <c r="CE271" i="1"/>
  <c r="CH271" i="1"/>
  <c r="A274" i="1"/>
  <c r="C273" i="1"/>
  <c r="AT271" i="1"/>
  <c r="AV271" i="1"/>
  <c r="AW271" i="1"/>
  <c r="AN274" i="1" l="1"/>
  <c r="BY273" i="1"/>
  <c r="BZ273" i="1" s="1"/>
  <c r="CC273" i="1"/>
  <c r="AR273" i="1"/>
  <c r="CD273" i="1"/>
  <c r="AS273" i="1"/>
  <c r="CE272" i="1"/>
  <c r="CG272" i="1"/>
  <c r="CH272" i="1"/>
  <c r="A275" i="1"/>
  <c r="C274" i="1"/>
  <c r="AV272" i="1"/>
  <c r="AT272" i="1"/>
  <c r="AW272" i="1"/>
  <c r="A276" i="1" l="1"/>
  <c r="C275" i="1"/>
  <c r="CG273" i="1"/>
  <c r="CE273" i="1"/>
  <c r="CH273" i="1"/>
  <c r="AO274" i="1"/>
  <c r="AU274" i="1"/>
  <c r="AN275" i="1"/>
  <c r="BY274" i="1"/>
  <c r="AR274" i="1"/>
  <c r="CC274" i="1"/>
  <c r="AS274" i="1"/>
  <c r="CD274" i="1"/>
  <c r="AT273" i="1"/>
  <c r="AV273" i="1"/>
  <c r="AW273" i="1"/>
  <c r="AV274" i="1" l="1"/>
  <c r="AT274" i="1"/>
  <c r="AW274" i="1"/>
  <c r="AO275" i="1"/>
  <c r="A277" i="1"/>
  <c r="C276" i="1"/>
  <c r="AN277" i="1" s="1"/>
  <c r="CE274" i="1"/>
  <c r="CG274" i="1"/>
  <c r="CH274" i="1"/>
  <c r="BZ274" i="1"/>
  <c r="CF274" i="1"/>
  <c r="BY275" i="1"/>
  <c r="CD275" i="1"/>
  <c r="AS275" i="1"/>
  <c r="CC275" i="1"/>
  <c r="AR275" i="1"/>
  <c r="CE275" i="1" l="1"/>
  <c r="CG275" i="1"/>
  <c r="CH275" i="1"/>
  <c r="A278" i="1"/>
  <c r="C277" i="1"/>
  <c r="AV275" i="1"/>
  <c r="AT275" i="1"/>
  <c r="AW275" i="1"/>
  <c r="BZ275" i="1"/>
  <c r="AO277" i="1"/>
  <c r="C278" i="1" l="1"/>
  <c r="A279" i="1"/>
  <c r="BY277" i="1"/>
  <c r="AN278" i="1"/>
  <c r="AS277" i="1"/>
  <c r="CC277" i="1"/>
  <c r="AR277" i="1"/>
  <c r="CD277" i="1"/>
  <c r="CG277" i="1" l="1"/>
  <c r="CE277" i="1"/>
  <c r="CH277" i="1"/>
  <c r="AO278" i="1"/>
  <c r="BY278" i="1"/>
  <c r="BZ278" i="1" s="1"/>
  <c r="AN279" i="1"/>
  <c r="AO279" i="1" s="1"/>
  <c r="CD278" i="1"/>
  <c r="AR278" i="1"/>
  <c r="CC278" i="1"/>
  <c r="AS278" i="1"/>
  <c r="AV277" i="1"/>
  <c r="AT277" i="1"/>
  <c r="AW277" i="1"/>
  <c r="BZ277" i="1"/>
  <c r="A280" i="1"/>
  <c r="C279" i="1"/>
  <c r="AT278" i="1" l="1"/>
  <c r="AV278" i="1"/>
  <c r="AW278" i="1"/>
  <c r="BY279" i="1"/>
  <c r="AN280" i="1"/>
  <c r="AR279" i="1"/>
  <c r="CC279" i="1"/>
  <c r="AS279" i="1"/>
  <c r="CD279" i="1"/>
  <c r="CE278" i="1"/>
  <c r="CG278" i="1"/>
  <c r="CH278" i="1"/>
  <c r="A281" i="1"/>
  <c r="C280" i="1"/>
  <c r="AO280" i="1" l="1"/>
  <c r="AN281" i="1"/>
  <c r="BY280" i="1"/>
  <c r="BZ280" i="1" s="1"/>
  <c r="AR280" i="1"/>
  <c r="CC280" i="1"/>
  <c r="AS280" i="1"/>
  <c r="CD280" i="1"/>
  <c r="CG279" i="1"/>
  <c r="CE279" i="1"/>
  <c r="CH279" i="1"/>
  <c r="A282" i="1"/>
  <c r="C281" i="1"/>
  <c r="AV279" i="1"/>
  <c r="AT279" i="1"/>
  <c r="AW279" i="1"/>
  <c r="BZ279" i="1"/>
  <c r="BY281" i="1" l="1"/>
  <c r="AN282" i="1"/>
  <c r="AR281" i="1"/>
  <c r="CD281" i="1"/>
  <c r="AS281" i="1"/>
  <c r="CC281" i="1"/>
  <c r="AT280" i="1"/>
  <c r="AV280" i="1"/>
  <c r="AW280" i="1"/>
  <c r="AO281" i="1"/>
  <c r="C282" i="1"/>
  <c r="A283" i="1"/>
  <c r="CE280" i="1"/>
  <c r="CG280" i="1"/>
  <c r="CH280" i="1"/>
  <c r="AO282" i="1" l="1"/>
  <c r="AU282" i="1"/>
  <c r="C283" i="1"/>
  <c r="A284" i="1"/>
  <c r="AV281" i="1"/>
  <c r="AT281" i="1"/>
  <c r="AW281" i="1"/>
  <c r="BZ281" i="1"/>
  <c r="BY282" i="1"/>
  <c r="AN283" i="1"/>
  <c r="AS282" i="1"/>
  <c r="CC282" i="1"/>
  <c r="AR282" i="1"/>
  <c r="CD282" i="1"/>
  <c r="CG281" i="1"/>
  <c r="CE281" i="1"/>
  <c r="CH281" i="1"/>
  <c r="AU283" i="1" l="1"/>
  <c r="BZ282" i="1"/>
  <c r="CF282" i="1"/>
  <c r="AO283" i="1"/>
  <c r="AT282" i="1"/>
  <c r="AV282" i="1"/>
  <c r="AW282" i="1"/>
  <c r="BY283" i="1"/>
  <c r="AN284" i="1"/>
  <c r="CC283" i="1"/>
  <c r="AR283" i="1"/>
  <c r="AT283" i="1" s="1"/>
  <c r="CD283" i="1"/>
  <c r="AS283" i="1"/>
  <c r="CE282" i="1"/>
  <c r="CH282" i="1"/>
  <c r="C284" i="1"/>
  <c r="A285" i="1"/>
  <c r="CF283" i="1" l="1"/>
  <c r="DE287" i="1" s="1"/>
  <c r="AO284" i="1"/>
  <c r="CU286" i="1"/>
  <c r="CU285" i="1"/>
  <c r="CU287" i="1"/>
  <c r="CG282" i="1"/>
  <c r="A286" i="1"/>
  <c r="C285" i="1"/>
  <c r="AV283" i="1"/>
  <c r="AW283" i="1"/>
  <c r="BY284" i="1"/>
  <c r="AN285" i="1"/>
  <c r="AO285" i="1" s="1"/>
  <c r="CD284" i="1"/>
  <c r="AR284" i="1"/>
  <c r="CC284" i="1"/>
  <c r="AS284" i="1"/>
  <c r="CG283" i="1"/>
  <c r="CE283" i="1"/>
  <c r="CH283" i="1"/>
  <c r="BZ283" i="1"/>
  <c r="DE285" i="1" l="1"/>
  <c r="DE286" i="1"/>
  <c r="AT284" i="1"/>
  <c r="AV284" i="1"/>
  <c r="CG284" i="1"/>
  <c r="CE284" i="1"/>
  <c r="BZ284" i="1"/>
  <c r="AW284" i="1"/>
  <c r="A287" i="1"/>
  <c r="C286" i="1"/>
  <c r="CH284" i="1"/>
  <c r="BY285" i="1"/>
  <c r="AN286" i="1"/>
  <c r="AO286" i="1" s="1"/>
  <c r="AR285" i="1"/>
  <c r="CD285" i="1"/>
  <c r="AS285" i="1"/>
  <c r="CC285" i="1"/>
  <c r="BZ285" i="1" l="1"/>
  <c r="CG285" i="1"/>
  <c r="CE285" i="1"/>
  <c r="AV285" i="1"/>
  <c r="AT285" i="1"/>
  <c r="AW285" i="1"/>
  <c r="BY286" i="1"/>
  <c r="AN287" i="1"/>
  <c r="AO287" i="1" s="1"/>
  <c r="AS286" i="1"/>
  <c r="CC286" i="1"/>
  <c r="AR286" i="1"/>
  <c r="CD286" i="1"/>
  <c r="CH285" i="1"/>
  <c r="A288" i="1"/>
  <c r="C287" i="1"/>
  <c r="BZ286" i="1" l="1"/>
  <c r="CG286" i="1"/>
  <c r="CE286" i="1"/>
  <c r="AV286" i="1"/>
  <c r="AT286" i="1"/>
  <c r="BY287" i="1"/>
  <c r="AN288" i="1"/>
  <c r="AO288" i="1" s="1"/>
  <c r="CC287" i="1"/>
  <c r="AR287" i="1"/>
  <c r="CD287" i="1"/>
  <c r="AS287" i="1"/>
  <c r="AW286" i="1"/>
  <c r="C288" i="1"/>
  <c r="A289" i="1"/>
  <c r="CH286" i="1"/>
  <c r="CG287" i="1" l="1"/>
  <c r="CE287" i="1"/>
  <c r="CH287" i="1"/>
  <c r="BZ287" i="1"/>
  <c r="AV287" i="1"/>
  <c r="AT287" i="1"/>
  <c r="CD288" i="1"/>
  <c r="AN289" i="1"/>
  <c r="BY288" i="1"/>
  <c r="BZ288" i="1" s="1"/>
  <c r="CC288" i="1"/>
  <c r="AS288" i="1"/>
  <c r="AR288" i="1"/>
  <c r="A290" i="1"/>
  <c r="C289" i="1"/>
  <c r="DB287" i="1"/>
  <c r="DB286" i="1"/>
  <c r="DB285" i="1"/>
  <c r="DA286" i="1"/>
  <c r="DA287" i="1"/>
  <c r="DA285" i="1"/>
  <c r="CR285" i="1"/>
  <c r="CR286" i="1"/>
  <c r="CR287" i="1"/>
  <c r="AW287" i="1"/>
  <c r="CQ286" i="1"/>
  <c r="CQ285" i="1"/>
  <c r="CQ287" i="1"/>
  <c r="AU289" i="1" l="1"/>
  <c r="AV288" i="1"/>
  <c r="AT288" i="1"/>
  <c r="CG288" i="1"/>
  <c r="CE288" i="1"/>
  <c r="CS286" i="1"/>
  <c r="CS285" i="1"/>
  <c r="CS287" i="1"/>
  <c r="CW287" i="1"/>
  <c r="CW285" i="1"/>
  <c r="CW286" i="1"/>
  <c r="DF285" i="1"/>
  <c r="DF286" i="1"/>
  <c r="DF287" i="1"/>
  <c r="A291" i="1"/>
  <c r="C290" i="1"/>
  <c r="DC287" i="1"/>
  <c r="DC286" i="1"/>
  <c r="DC285" i="1"/>
  <c r="BY289" i="1"/>
  <c r="CF289" i="1" s="1"/>
  <c r="AN290" i="1"/>
  <c r="AR289" i="1"/>
  <c r="CD289" i="1"/>
  <c r="AS289" i="1"/>
  <c r="CC289" i="1"/>
  <c r="AW288" i="1"/>
  <c r="CH288" i="1"/>
  <c r="AO289" i="1"/>
  <c r="AU290" i="1" l="1"/>
  <c r="AV289" i="1"/>
  <c r="AT289" i="1"/>
  <c r="CG289" i="1"/>
  <c r="CE289" i="1"/>
  <c r="AW289" i="1"/>
  <c r="BZ289" i="1"/>
  <c r="BY290" i="1"/>
  <c r="CF290" i="1" s="1"/>
  <c r="AN291" i="1"/>
  <c r="AO291" i="1" s="1"/>
  <c r="CC290" i="1"/>
  <c r="AR290" i="1"/>
  <c r="CD290" i="1"/>
  <c r="AS290" i="1"/>
  <c r="CH289" i="1"/>
  <c r="AO290" i="1"/>
  <c r="A292" i="1"/>
  <c r="C291" i="1"/>
  <c r="CE290" i="1" l="1"/>
  <c r="CG290" i="1"/>
  <c r="AV290" i="1"/>
  <c r="AT290" i="1"/>
  <c r="BY291" i="1"/>
  <c r="AR291" i="1"/>
  <c r="CD291" i="1"/>
  <c r="AS291" i="1"/>
  <c r="CC291" i="1"/>
  <c r="A293" i="1"/>
  <c r="C292" i="1"/>
  <c r="AN293" i="1" s="1"/>
  <c r="AO293" i="1" s="1"/>
  <c r="AW290" i="1"/>
  <c r="CH290" i="1"/>
  <c r="BZ290" i="1"/>
  <c r="AV291" i="1" l="1"/>
  <c r="AT291" i="1"/>
  <c r="CE291" i="1"/>
  <c r="CG291" i="1"/>
  <c r="CH291" i="1"/>
  <c r="BZ291" i="1"/>
  <c r="A294" i="1"/>
  <c r="C293" i="1"/>
  <c r="AW291" i="1"/>
  <c r="BY293" i="1" l="1"/>
  <c r="BZ293" i="1" s="1"/>
  <c r="AN294" i="1"/>
  <c r="AO294" i="1" s="1"/>
  <c r="CC293" i="1"/>
  <c r="AR293" i="1"/>
  <c r="CD293" i="1"/>
  <c r="AS293" i="1"/>
  <c r="A295" i="1"/>
  <c r="C294" i="1"/>
  <c r="AT293" i="1" l="1"/>
  <c r="AV293" i="1"/>
  <c r="CE293" i="1"/>
  <c r="CG293" i="1"/>
  <c r="AN295" i="1"/>
  <c r="AO295" i="1" s="1"/>
  <c r="BY294" i="1"/>
  <c r="BZ294" i="1" s="1"/>
  <c r="AR294" i="1"/>
  <c r="CD294" i="1"/>
  <c r="AS294" i="1"/>
  <c r="CC294" i="1"/>
  <c r="CH293" i="1"/>
  <c r="A296" i="1"/>
  <c r="C295" i="1"/>
  <c r="AW293" i="1"/>
  <c r="AV294" i="1" l="1"/>
  <c r="AT294" i="1"/>
  <c r="CE294" i="1"/>
  <c r="CG294" i="1"/>
  <c r="AN296" i="1"/>
  <c r="AO296" i="1" s="1"/>
  <c r="BY295" i="1"/>
  <c r="BZ295" i="1" s="1"/>
  <c r="CC295" i="1"/>
  <c r="AR295" i="1"/>
  <c r="CD295" i="1"/>
  <c r="AS295" i="1"/>
  <c r="A297" i="1"/>
  <c r="C296" i="1"/>
  <c r="CH294" i="1"/>
  <c r="AW294" i="1"/>
  <c r="AV295" i="1" l="1"/>
  <c r="AT295" i="1"/>
  <c r="CE295" i="1"/>
  <c r="CG295" i="1"/>
  <c r="AW295" i="1"/>
  <c r="A298" i="1"/>
  <c r="C297" i="1"/>
  <c r="AN297" i="1"/>
  <c r="AO297" i="1" s="1"/>
  <c r="BY296" i="1"/>
  <c r="BZ296" i="1" s="1"/>
  <c r="AS296" i="1"/>
  <c r="CD296" i="1"/>
  <c r="AR296" i="1"/>
  <c r="CC296" i="1"/>
  <c r="CH295" i="1"/>
  <c r="AW296" i="1" l="1"/>
  <c r="AV296" i="1"/>
  <c r="AT296" i="1"/>
  <c r="CG296" i="1"/>
  <c r="CE296" i="1"/>
  <c r="CH296" i="1"/>
  <c r="A299" i="1"/>
  <c r="C298" i="1"/>
  <c r="BY297" i="1"/>
  <c r="BZ297" i="1" s="1"/>
  <c r="AN298" i="1"/>
  <c r="AO298" i="1" s="1"/>
  <c r="AS297" i="1"/>
  <c r="CC297" i="1"/>
  <c r="AR297" i="1"/>
  <c r="CD297" i="1"/>
  <c r="CG297" i="1" l="1"/>
  <c r="CE297" i="1"/>
  <c r="AW297" i="1"/>
  <c r="AT297" i="1"/>
  <c r="AV297" i="1"/>
  <c r="CH297" i="1"/>
  <c r="AN299" i="1"/>
  <c r="AO299" i="1" s="1"/>
  <c r="BY298" i="1"/>
  <c r="BZ298" i="1" s="1"/>
  <c r="AR298" i="1"/>
  <c r="CD298" i="1"/>
  <c r="AS298" i="1"/>
  <c r="CC298" i="1"/>
  <c r="A300" i="1"/>
  <c r="C299" i="1"/>
  <c r="CG298" i="1" l="1"/>
  <c r="CE298" i="1"/>
  <c r="AW298" i="1"/>
  <c r="AV298" i="1"/>
  <c r="AT298" i="1"/>
  <c r="A301" i="1"/>
  <c r="C300" i="1"/>
  <c r="BY299" i="1"/>
  <c r="BZ299" i="1" s="1"/>
  <c r="AN300" i="1"/>
  <c r="AO300" i="1" s="1"/>
  <c r="AS299" i="1"/>
  <c r="CD299" i="1"/>
  <c r="AR299" i="1"/>
  <c r="CC299" i="1"/>
  <c r="CH298" i="1"/>
  <c r="CG299" i="1" l="1"/>
  <c r="CE299" i="1"/>
  <c r="AW299" i="1"/>
  <c r="AT299" i="1"/>
  <c r="AV299" i="1"/>
  <c r="CH299" i="1"/>
  <c r="A302" i="1"/>
  <c r="C301" i="1"/>
  <c r="AN301" i="1"/>
  <c r="AO301" i="1" s="1"/>
  <c r="BY300" i="1"/>
  <c r="BZ300" i="1" s="1"/>
  <c r="AR300" i="1"/>
  <c r="CC300" i="1"/>
  <c r="AS300" i="1"/>
  <c r="CD300" i="1"/>
  <c r="AW300" i="1" l="1"/>
  <c r="AV300" i="1"/>
  <c r="AT300" i="1"/>
  <c r="CG300" i="1"/>
  <c r="CE300" i="1"/>
  <c r="CH300" i="1"/>
  <c r="BY301" i="1"/>
  <c r="BZ301" i="1" s="1"/>
  <c r="AN302" i="1"/>
  <c r="AO302" i="1" s="1"/>
  <c r="AS301" i="1"/>
  <c r="CD301" i="1"/>
  <c r="AR301" i="1"/>
  <c r="CC301" i="1"/>
  <c r="A303" i="1"/>
  <c r="C302" i="1"/>
  <c r="AW301" i="1" l="1"/>
  <c r="AT301" i="1"/>
  <c r="AV301" i="1"/>
  <c r="CG301" i="1"/>
  <c r="CE301" i="1"/>
  <c r="BY302" i="1"/>
  <c r="AR302" i="1"/>
  <c r="CC302" i="1"/>
  <c r="AS302" i="1"/>
  <c r="CD302" i="1"/>
  <c r="A304" i="1"/>
  <c r="C303" i="1"/>
  <c r="AN304" i="1" s="1"/>
  <c r="AO304" i="1" s="1"/>
  <c r="CH301" i="1"/>
  <c r="CG302" i="1" l="1"/>
  <c r="CE302" i="1"/>
  <c r="AW302" i="1"/>
  <c r="AV302" i="1"/>
  <c r="AT302" i="1"/>
  <c r="CH302" i="1"/>
  <c r="BZ302" i="1"/>
  <c r="C304" i="1"/>
  <c r="A305" i="1"/>
  <c r="A306" i="1" l="1"/>
  <c r="C305" i="1"/>
  <c r="BY304" i="1"/>
  <c r="BZ304" i="1" s="1"/>
  <c r="AN305" i="1"/>
  <c r="CC304" i="1"/>
  <c r="AS304" i="1"/>
  <c r="CD304" i="1"/>
  <c r="AR304" i="1"/>
  <c r="AO305" i="1" l="1"/>
  <c r="CE304" i="1"/>
  <c r="CG304" i="1"/>
  <c r="AW304" i="1"/>
  <c r="AV304" i="1"/>
  <c r="AT304" i="1"/>
  <c r="CH304" i="1"/>
  <c r="A307" i="1"/>
  <c r="C306" i="1"/>
  <c r="AN306" i="1"/>
  <c r="AO306" i="1" s="1"/>
  <c r="BY305" i="1"/>
  <c r="CC305" i="1"/>
  <c r="AR305" i="1"/>
  <c r="CD305" i="1"/>
  <c r="AS305" i="1"/>
  <c r="AW305" i="1" l="1"/>
  <c r="AV305" i="1"/>
  <c r="AT305" i="1"/>
  <c r="CG305" i="1"/>
  <c r="CE305" i="1"/>
  <c r="BZ305" i="1"/>
  <c r="CH305" i="1"/>
  <c r="BY306" i="1"/>
  <c r="BZ306" i="1" s="1"/>
  <c r="AN307" i="1"/>
  <c r="AS306" i="1"/>
  <c r="CD306" i="1"/>
  <c r="AR306" i="1"/>
  <c r="CC306" i="1"/>
  <c r="A308" i="1"/>
  <c r="C307" i="1"/>
  <c r="AO307" i="1" l="1"/>
  <c r="AW306" i="1"/>
  <c r="AV306" i="1"/>
  <c r="AT306" i="1"/>
  <c r="CG306" i="1"/>
  <c r="CE306" i="1"/>
  <c r="AN308" i="1"/>
  <c r="BY307" i="1"/>
  <c r="AR307" i="1"/>
  <c r="CD307" i="1"/>
  <c r="AS307" i="1"/>
  <c r="CC307" i="1"/>
  <c r="CH306" i="1"/>
  <c r="A309" i="1"/>
  <c r="C308" i="1"/>
  <c r="BZ307" i="1" l="1"/>
  <c r="AW307" i="1"/>
  <c r="AV307" i="1"/>
  <c r="AT307" i="1"/>
  <c r="AO308" i="1"/>
  <c r="CG307" i="1"/>
  <c r="CE307" i="1"/>
  <c r="AN309" i="1"/>
  <c r="BY308" i="1"/>
  <c r="BZ308" i="1" s="1"/>
  <c r="CC308" i="1"/>
  <c r="AS308" i="1"/>
  <c r="CD308" i="1"/>
  <c r="AR308" i="1"/>
  <c r="A310" i="1"/>
  <c r="C309" i="1"/>
  <c r="CH307" i="1"/>
  <c r="AW308" i="1" l="1"/>
  <c r="AV308" i="1"/>
  <c r="AT308" i="1"/>
  <c r="CE308" i="1"/>
  <c r="CG308" i="1"/>
  <c r="AO309" i="1"/>
  <c r="A311" i="1"/>
  <c r="C310" i="1"/>
  <c r="CH308" i="1"/>
  <c r="CD309" i="1"/>
  <c r="AN310" i="1"/>
  <c r="AO310" i="1" s="1"/>
  <c r="BY309" i="1"/>
  <c r="AR309" i="1"/>
  <c r="CC309" i="1"/>
  <c r="AS309" i="1"/>
  <c r="CG309" i="1" l="1"/>
  <c r="CE309" i="1"/>
  <c r="BZ309" i="1"/>
  <c r="AW309" i="1"/>
  <c r="AV309" i="1"/>
  <c r="AT309" i="1"/>
  <c r="A312" i="1"/>
  <c r="C311" i="1"/>
  <c r="CH309" i="1"/>
  <c r="CC310" i="1"/>
  <c r="AN311" i="1"/>
  <c r="BY310" i="1"/>
  <c r="BZ310" i="1" s="1"/>
  <c r="AR310" i="1"/>
  <c r="CD310" i="1"/>
  <c r="AS310" i="1"/>
  <c r="AU311" i="1" l="1"/>
  <c r="CG310" i="1"/>
  <c r="CE310" i="1"/>
  <c r="AW310" i="1"/>
  <c r="AV310" i="1"/>
  <c r="AT310" i="1"/>
  <c r="AO311" i="1"/>
  <c r="A313" i="1"/>
  <c r="C312" i="1"/>
  <c r="CH310" i="1"/>
  <c r="BY311" i="1"/>
  <c r="AN312" i="1"/>
  <c r="AR311" i="1"/>
  <c r="CC311" i="1"/>
  <c r="AS311" i="1"/>
  <c r="CD311" i="1"/>
  <c r="CF311" i="1" l="1"/>
  <c r="CE311" i="1"/>
  <c r="AW311" i="1"/>
  <c r="AV311" i="1"/>
  <c r="AT311" i="1"/>
  <c r="BZ311" i="1"/>
  <c r="CG311" i="1"/>
  <c r="AO312" i="1"/>
  <c r="BY312" i="1"/>
  <c r="AN313" i="1"/>
  <c r="AO313" i="1" s="1"/>
  <c r="AS312" i="1"/>
  <c r="CD312" i="1"/>
  <c r="AR312" i="1"/>
  <c r="CC312" i="1"/>
  <c r="CH311" i="1"/>
  <c r="C313" i="1"/>
  <c r="AN314" i="1" s="1"/>
  <c r="AO314" i="1" s="1"/>
  <c r="A314" i="1"/>
  <c r="CE312" i="1" l="1"/>
  <c r="AW312" i="1"/>
  <c r="AT312" i="1"/>
  <c r="AV312" i="1"/>
  <c r="CG312" i="1"/>
  <c r="BZ312" i="1"/>
  <c r="BY313" i="1"/>
  <c r="BZ313" i="1" s="1"/>
  <c r="AR313" i="1"/>
  <c r="CD313" i="1"/>
  <c r="AS313" i="1"/>
  <c r="CC313" i="1"/>
  <c r="CE313" i="1" s="1"/>
  <c r="CH312" i="1"/>
  <c r="C314" i="1"/>
  <c r="A315" i="1"/>
  <c r="CG313" i="1" l="1"/>
  <c r="AW313" i="1"/>
  <c r="AT313" i="1"/>
  <c r="AV313" i="1"/>
  <c r="AN315" i="1"/>
  <c r="BY314" i="1"/>
  <c r="AS314" i="1"/>
  <c r="AR314" i="1"/>
  <c r="CC314" i="1"/>
  <c r="CD314" i="1"/>
  <c r="A316" i="1"/>
  <c r="C315" i="1"/>
  <c r="CH313" i="1"/>
  <c r="AU315" i="1" l="1"/>
  <c r="BZ314" i="1"/>
  <c r="CE314" i="1"/>
  <c r="CG314" i="1"/>
  <c r="AO315" i="1"/>
  <c r="AT314" i="1"/>
  <c r="AV314" i="1"/>
  <c r="AN316" i="1"/>
  <c r="BY315" i="1"/>
  <c r="CF315" i="1" s="1"/>
  <c r="AR315" i="1"/>
  <c r="AS315" i="1"/>
  <c r="CD315" i="1"/>
  <c r="CC315" i="1"/>
  <c r="CE315" i="1" s="1"/>
  <c r="AW314" i="1"/>
  <c r="CH314" i="1"/>
  <c r="A317" i="1"/>
  <c r="C316" i="1"/>
  <c r="CG315" i="1" l="1"/>
  <c r="BZ315" i="1"/>
  <c r="AV315" i="1"/>
  <c r="AT315" i="1"/>
  <c r="AO316" i="1"/>
  <c r="BY316" i="1"/>
  <c r="AN317" i="1"/>
  <c r="AR316" i="1"/>
  <c r="AS316" i="1"/>
  <c r="CC316" i="1"/>
  <c r="CE316" i="1" s="1"/>
  <c r="CD316" i="1"/>
  <c r="AW315" i="1"/>
  <c r="C317" i="1"/>
  <c r="A318" i="1"/>
  <c r="CH315" i="1"/>
  <c r="AU317" i="1" l="1"/>
  <c r="CG316" i="1"/>
  <c r="AT316" i="1"/>
  <c r="AV316" i="1"/>
  <c r="BZ316" i="1"/>
  <c r="AO317" i="1"/>
  <c r="AW316" i="1"/>
  <c r="A319" i="1"/>
  <c r="C318" i="1"/>
  <c r="CH316" i="1"/>
  <c r="BY317" i="1"/>
  <c r="CF317" i="1" s="1"/>
  <c r="AN318" i="1"/>
  <c r="AU318" i="1" s="1"/>
  <c r="AR317" i="1"/>
  <c r="AS317" i="1"/>
  <c r="CD317" i="1"/>
  <c r="CC317" i="1"/>
  <c r="CE317" i="1" l="1"/>
  <c r="CG317" i="1"/>
  <c r="AO318" i="1"/>
  <c r="AV317" i="1"/>
  <c r="AT317" i="1"/>
  <c r="BZ317" i="1"/>
  <c r="AR318" i="1"/>
  <c r="BY318" i="1"/>
  <c r="CF318" i="1" s="1"/>
  <c r="AN319" i="1"/>
  <c r="AS318" i="1"/>
  <c r="CC318" i="1"/>
  <c r="CD318" i="1"/>
  <c r="AW317" i="1"/>
  <c r="A320" i="1"/>
  <c r="C319" i="1"/>
  <c r="AN320" i="1" s="1"/>
  <c r="AO320" i="1" s="1"/>
  <c r="CH317" i="1"/>
  <c r="CE318" i="1" l="1"/>
  <c r="CG318" i="1"/>
  <c r="AO319" i="1"/>
  <c r="AV318" i="1"/>
  <c r="AT318" i="1"/>
  <c r="BZ318" i="1"/>
  <c r="CH318" i="1"/>
  <c r="AW318" i="1"/>
  <c r="A321" i="1"/>
  <c r="C320" i="1"/>
  <c r="BY319" i="1"/>
  <c r="AR319" i="1"/>
  <c r="AS319" i="1"/>
  <c r="CC319" i="1"/>
  <c r="CD319" i="1"/>
  <c r="CE319" i="1" l="1"/>
  <c r="BZ319" i="1"/>
  <c r="CG319" i="1"/>
  <c r="AT319" i="1"/>
  <c r="AV319" i="1"/>
  <c r="BY320" i="1"/>
  <c r="BZ320" i="1" s="1"/>
  <c r="AN321" i="1"/>
  <c r="AS320" i="1"/>
  <c r="AR320" i="1"/>
  <c r="CD320" i="1"/>
  <c r="CC320" i="1"/>
  <c r="CH319" i="1"/>
  <c r="AW319" i="1"/>
  <c r="A322" i="1"/>
  <c r="C321" i="1"/>
  <c r="CE320" i="1" l="1"/>
  <c r="BY321" i="1"/>
  <c r="AN322" i="1"/>
  <c r="AR321" i="1"/>
  <c r="AS321" i="1"/>
  <c r="CC321" i="1"/>
  <c r="CE321" i="1" s="1"/>
  <c r="CD321" i="1"/>
  <c r="CG320" i="1"/>
  <c r="CH320" i="1"/>
  <c r="AT320" i="1"/>
  <c r="AV320" i="1"/>
  <c r="AW320" i="1"/>
  <c r="A323" i="1"/>
  <c r="C322" i="1"/>
  <c r="AU322" i="1" l="1"/>
  <c r="BZ321" i="1"/>
  <c r="BY322" i="1"/>
  <c r="CF322" i="1" s="1"/>
  <c r="AN323" i="1"/>
  <c r="AS322" i="1"/>
  <c r="AR322" i="1"/>
  <c r="AW322" i="1" s="1"/>
  <c r="CD322" i="1"/>
  <c r="CC322" i="1"/>
  <c r="CG321" i="1"/>
  <c r="CH321" i="1"/>
  <c r="AW321" i="1"/>
  <c r="C323" i="1"/>
  <c r="A324" i="1"/>
  <c r="CE322" i="1" l="1"/>
  <c r="BY323" i="1"/>
  <c r="AN324" i="1"/>
  <c r="AO324" i="1" s="1"/>
  <c r="AR323" i="1"/>
  <c r="AS323" i="1"/>
  <c r="CC323" i="1"/>
  <c r="CE323" i="1" s="1"/>
  <c r="CD323" i="1"/>
  <c r="CG322" i="1"/>
  <c r="CH322" i="1"/>
  <c r="AO323" i="1"/>
  <c r="BZ322" i="1"/>
  <c r="A325" i="1"/>
  <c r="C324" i="1"/>
  <c r="C325" i="1" l="1"/>
  <c r="A326" i="1"/>
  <c r="CG323" i="1"/>
  <c r="CH323" i="1"/>
  <c r="AW323" i="1"/>
  <c r="BZ323" i="1"/>
  <c r="BY324" i="1"/>
  <c r="AN325" i="1"/>
  <c r="AS324" i="1"/>
  <c r="AR324" i="1"/>
  <c r="CD324" i="1"/>
  <c r="CC324" i="1"/>
  <c r="AT323" i="1" l="1"/>
  <c r="AU325" i="1"/>
  <c r="AV323" i="1"/>
  <c r="AV324" i="1"/>
  <c r="AT324" i="1"/>
  <c r="CE324" i="1"/>
  <c r="BZ324" i="1"/>
  <c r="A327" i="1"/>
  <c r="C326" i="1"/>
  <c r="CG324" i="1"/>
  <c r="CH324" i="1"/>
  <c r="AW324" i="1"/>
  <c r="AO325" i="1"/>
  <c r="BY325" i="1"/>
  <c r="CF325" i="1" s="1"/>
  <c r="AN326" i="1"/>
  <c r="AR325" i="1"/>
  <c r="AS325" i="1"/>
  <c r="CD325" i="1"/>
  <c r="CC325" i="1"/>
  <c r="CE325" i="1" l="1"/>
  <c r="AV325" i="1"/>
  <c r="AT325" i="1"/>
  <c r="AW325" i="1"/>
  <c r="BZ325" i="1"/>
  <c r="A328" i="1"/>
  <c r="C327" i="1"/>
  <c r="CG325" i="1"/>
  <c r="CH325" i="1"/>
  <c r="AO326" i="1"/>
  <c r="AN327" i="1"/>
  <c r="AO327" i="1" s="1"/>
  <c r="BY326" i="1"/>
  <c r="AS326" i="1"/>
  <c r="AR326" i="1"/>
  <c r="CC326" i="1"/>
  <c r="CD326" i="1"/>
  <c r="CE326" i="1" l="1"/>
  <c r="AT326" i="1"/>
  <c r="AV326" i="1"/>
  <c r="AW326" i="1"/>
  <c r="BZ326" i="1"/>
  <c r="AN328" i="1"/>
  <c r="BY327" i="1"/>
  <c r="BZ327" i="1" s="1"/>
  <c r="AR327" i="1"/>
  <c r="AS327" i="1"/>
  <c r="CD327" i="1"/>
  <c r="CC327" i="1"/>
  <c r="CE327" i="1" s="1"/>
  <c r="CG326" i="1"/>
  <c r="CH326" i="1"/>
  <c r="A329" i="1"/>
  <c r="C328" i="1"/>
  <c r="BY328" i="1" l="1"/>
  <c r="AN329" i="1"/>
  <c r="AS328" i="1"/>
  <c r="AR328" i="1"/>
  <c r="CD328" i="1"/>
  <c r="CC328" i="1"/>
  <c r="A330" i="1"/>
  <c r="C329" i="1"/>
  <c r="CG327" i="1"/>
  <c r="CH327" i="1"/>
  <c r="AT327" i="1"/>
  <c r="AV327" i="1"/>
  <c r="AW327" i="1"/>
  <c r="AO328" i="1"/>
  <c r="AU329" i="1" l="1"/>
  <c r="CE328" i="1"/>
  <c r="AO329" i="1"/>
  <c r="A331" i="1"/>
  <c r="C330" i="1"/>
  <c r="BZ328" i="1"/>
  <c r="BY329" i="1"/>
  <c r="CF329" i="1" s="1"/>
  <c r="AN330" i="1"/>
  <c r="AO330" i="1" s="1"/>
  <c r="AR329" i="1"/>
  <c r="AS329" i="1"/>
  <c r="CD329" i="1"/>
  <c r="CC329" i="1"/>
  <c r="CH328" i="1"/>
  <c r="CG328" i="1"/>
  <c r="AT328" i="1"/>
  <c r="AW328" i="1"/>
  <c r="AV328" i="1"/>
  <c r="CE329" i="1" l="1"/>
  <c r="AV329" i="1"/>
  <c r="AT329" i="1"/>
  <c r="AW329" i="1"/>
  <c r="BZ329" i="1"/>
  <c r="A332" i="1"/>
  <c r="C331" i="1"/>
  <c r="CG329" i="1"/>
  <c r="CH329" i="1"/>
  <c r="BY330" i="1"/>
  <c r="BZ330" i="1" s="1"/>
  <c r="AN331" i="1"/>
  <c r="AS330" i="1"/>
  <c r="AR330" i="1"/>
  <c r="CC330" i="1"/>
  <c r="CE330" i="1" s="1"/>
  <c r="CD330" i="1"/>
  <c r="AO331" i="1" l="1"/>
  <c r="CH330" i="1"/>
  <c r="CG330" i="1"/>
  <c r="AT330" i="1"/>
  <c r="AW330" i="1"/>
  <c r="AV330" i="1"/>
  <c r="A333" i="1"/>
  <c r="C332" i="1"/>
  <c r="BY331" i="1"/>
  <c r="AN332" i="1"/>
  <c r="AS331" i="1"/>
  <c r="AR331" i="1"/>
  <c r="CC331" i="1"/>
  <c r="CE331" i="1" s="1"/>
  <c r="CD331" i="1"/>
  <c r="AU332" i="1" l="1"/>
  <c r="BZ331" i="1"/>
  <c r="CG331" i="1"/>
  <c r="CH331" i="1"/>
  <c r="A334" i="1"/>
  <c r="C333" i="1"/>
  <c r="AT331" i="1"/>
  <c r="AV331" i="1"/>
  <c r="AW331" i="1"/>
  <c r="AO332" i="1"/>
  <c r="BY332" i="1"/>
  <c r="CF332" i="1" s="1"/>
  <c r="AN333" i="1"/>
  <c r="AR332" i="1"/>
  <c r="AS332" i="1"/>
  <c r="CC332" i="1"/>
  <c r="CE332" i="1" s="1"/>
  <c r="CD332" i="1"/>
  <c r="AO333" i="1" l="1"/>
  <c r="CG332" i="1"/>
  <c r="CH332" i="1"/>
  <c r="AV332" i="1"/>
  <c r="AW332" i="1"/>
  <c r="AT332" i="1"/>
  <c r="BZ332" i="1"/>
  <c r="BY333" i="1"/>
  <c r="AN334" i="1"/>
  <c r="AO334" i="1" s="1"/>
  <c r="AS333" i="1"/>
  <c r="AR333" i="1"/>
  <c r="CC333" i="1"/>
  <c r="CE333" i="1" s="1"/>
  <c r="CD333" i="1"/>
  <c r="A335" i="1"/>
  <c r="C334" i="1"/>
  <c r="BZ333" i="1" l="1"/>
  <c r="AT333" i="1"/>
  <c r="AV333" i="1"/>
  <c r="AW333" i="1"/>
  <c r="BY334" i="1"/>
  <c r="BZ334" i="1" s="1"/>
  <c r="AN335" i="1"/>
  <c r="AS334" i="1"/>
  <c r="AR334" i="1"/>
  <c r="CD334" i="1"/>
  <c r="CC334" i="1"/>
  <c r="CG333" i="1"/>
  <c r="CH333" i="1"/>
  <c r="A336" i="1"/>
  <c r="C335" i="1"/>
  <c r="AN336" i="1" s="1"/>
  <c r="AO336" i="1" s="1"/>
  <c r="CE334" i="1" l="1"/>
  <c r="AO335" i="1"/>
  <c r="A337" i="1"/>
  <c r="C336" i="1"/>
  <c r="CH334" i="1"/>
  <c r="CG334" i="1"/>
  <c r="AT334" i="1"/>
  <c r="AW334" i="1"/>
  <c r="AV334" i="1"/>
  <c r="BY335" i="1"/>
  <c r="AS335" i="1"/>
  <c r="AR335" i="1"/>
  <c r="CD335" i="1"/>
  <c r="CC335" i="1"/>
  <c r="CE335" i="1" s="1"/>
  <c r="BY336" i="1" l="1"/>
  <c r="BZ336" i="1" s="1"/>
  <c r="AN337" i="1"/>
  <c r="AR336" i="1"/>
  <c r="AS336" i="1"/>
  <c r="CC336" i="1"/>
  <c r="CD336" i="1"/>
  <c r="BZ335" i="1"/>
  <c r="CG335" i="1"/>
  <c r="CH335" i="1"/>
  <c r="AT335" i="1"/>
  <c r="AV335" i="1"/>
  <c r="AW335" i="1"/>
  <c r="A338" i="1"/>
  <c r="C337" i="1"/>
  <c r="AU337" i="1" l="1"/>
  <c r="AT336" i="1"/>
  <c r="AW336" i="1"/>
  <c r="AV336" i="1"/>
  <c r="AN338" i="1"/>
  <c r="BY337" i="1"/>
  <c r="CF337" i="1" s="1"/>
  <c r="AS337" i="1"/>
  <c r="AR337" i="1"/>
  <c r="AT337" i="1" s="1"/>
  <c r="CC337" i="1"/>
  <c r="CD337" i="1"/>
  <c r="AO337" i="1"/>
  <c r="CH336" i="1"/>
  <c r="CE336" i="1"/>
  <c r="CG336" i="1"/>
  <c r="A339" i="1"/>
  <c r="C338" i="1"/>
  <c r="BZ337" i="1" l="1"/>
  <c r="CH337" i="1"/>
  <c r="CG337" i="1"/>
  <c r="CE337" i="1"/>
  <c r="AO338" i="1"/>
  <c r="BY338" i="1"/>
  <c r="AN339" i="1"/>
  <c r="AR338" i="1"/>
  <c r="AT338" i="1" s="1"/>
  <c r="AS338" i="1"/>
  <c r="CC338" i="1"/>
  <c r="CD338" i="1"/>
  <c r="AW337" i="1"/>
  <c r="AV337" i="1"/>
  <c r="C339" i="1"/>
  <c r="A340" i="1"/>
  <c r="AU339" i="1" l="1"/>
  <c r="AW338" i="1"/>
  <c r="AV338" i="1"/>
  <c r="AN340" i="1"/>
  <c r="AO340" i="1" s="1"/>
  <c r="BY339" i="1"/>
  <c r="AR339" i="1"/>
  <c r="AS339" i="1"/>
  <c r="CC339" i="1"/>
  <c r="CD339" i="1"/>
  <c r="AO339" i="1"/>
  <c r="C340" i="1"/>
  <c r="A341" i="1"/>
  <c r="CH338" i="1"/>
  <c r="CG338" i="1"/>
  <c r="CE338" i="1"/>
  <c r="BZ338" i="1"/>
  <c r="CF339" i="1" l="1"/>
  <c r="BZ339" i="1"/>
  <c r="CH339" i="1"/>
  <c r="CE339" i="1"/>
  <c r="CG339" i="1"/>
  <c r="AT339" i="1"/>
  <c r="AV339" i="1"/>
  <c r="AW339" i="1"/>
  <c r="C341" i="1"/>
  <c r="A342" i="1"/>
  <c r="AN341" i="1"/>
  <c r="BY340" i="1"/>
  <c r="AR340" i="1"/>
  <c r="AS340" i="1"/>
  <c r="CD340" i="1"/>
  <c r="CC340" i="1"/>
  <c r="AO341" i="1" l="1"/>
  <c r="DE355" i="1"/>
  <c r="AT340" i="1"/>
  <c r="AV340" i="1"/>
  <c r="AW340" i="1"/>
  <c r="CH340" i="1"/>
  <c r="CE340" i="1"/>
  <c r="CG340" i="1"/>
  <c r="BZ340" i="1"/>
  <c r="C342" i="1"/>
  <c r="A343" i="1"/>
  <c r="CC341" i="1"/>
  <c r="AN342" i="1"/>
  <c r="AO342" i="1" s="1"/>
  <c r="BY341" i="1"/>
  <c r="BZ341" i="1" s="1"/>
  <c r="AR341" i="1"/>
  <c r="AS341" i="1"/>
  <c r="CD341" i="1"/>
  <c r="CH341" i="1" l="1"/>
  <c r="CG341" i="1"/>
  <c r="CE341" i="1"/>
  <c r="BY342" i="1"/>
  <c r="AN343" i="1"/>
  <c r="AO343" i="1" s="1"/>
  <c r="AS342" i="1"/>
  <c r="AR342" i="1"/>
  <c r="AW342" i="1" s="1"/>
  <c r="CC342" i="1"/>
  <c r="CD342" i="1"/>
  <c r="C343" i="1"/>
  <c r="AN344" i="1" s="1"/>
  <c r="A344" i="1"/>
  <c r="AT341" i="1"/>
  <c r="AW341" i="1"/>
  <c r="AV341" i="1"/>
  <c r="BZ342" i="1" l="1"/>
  <c r="C344" i="1"/>
  <c r="AN345" i="1" s="1"/>
  <c r="A345" i="1"/>
  <c r="BY343" i="1"/>
  <c r="AS343" i="1"/>
  <c r="AR343" i="1"/>
  <c r="AW343" i="1" s="1"/>
  <c r="CD343" i="1"/>
  <c r="CC343" i="1"/>
  <c r="CG342" i="1"/>
  <c r="CH342" i="1"/>
  <c r="CE342" i="1"/>
  <c r="AV342" i="1"/>
  <c r="AT342" i="1"/>
  <c r="AU344" i="1" l="1"/>
  <c r="AO345" i="1"/>
  <c r="BY344" i="1"/>
  <c r="CF344" i="1" s="1"/>
  <c r="AS344" i="1"/>
  <c r="AR344" i="1"/>
  <c r="CC344" i="1"/>
  <c r="CD344" i="1"/>
  <c r="CH343" i="1"/>
  <c r="CE343" i="1"/>
  <c r="CG343" i="1"/>
  <c r="AT343" i="1"/>
  <c r="AV343" i="1"/>
  <c r="C345" i="1"/>
  <c r="AU345" i="1" s="1"/>
  <c r="A346" i="1"/>
  <c r="AO344" i="1"/>
  <c r="BZ343" i="1"/>
  <c r="CE344" i="1" l="1"/>
  <c r="AN346" i="1"/>
  <c r="BY345" i="1"/>
  <c r="AS345" i="1"/>
  <c r="AR345" i="1"/>
  <c r="CC345" i="1"/>
  <c r="CD345" i="1"/>
  <c r="AT344" i="1"/>
  <c r="AV344" i="1"/>
  <c r="BZ344" i="1"/>
  <c r="CG344" i="1"/>
  <c r="CH344" i="1"/>
  <c r="AW344" i="1"/>
  <c r="C346" i="1"/>
  <c r="A347" i="1"/>
  <c r="CF345" i="1" l="1"/>
  <c r="BY346" i="1"/>
  <c r="BZ346" i="1" s="1"/>
  <c r="CD346" i="1"/>
  <c r="CC346" i="1"/>
  <c r="AS346" i="1"/>
  <c r="AR346" i="1"/>
  <c r="AV345" i="1"/>
  <c r="AT345" i="1"/>
  <c r="BZ345" i="1"/>
  <c r="CG345" i="1"/>
  <c r="CE345" i="1"/>
  <c r="CH345" i="1"/>
  <c r="AO346" i="1"/>
  <c r="C347" i="1"/>
  <c r="A348" i="1"/>
  <c r="AN347" i="1"/>
  <c r="CH346" i="1" l="1"/>
  <c r="CG346" i="1"/>
  <c r="CE346" i="1"/>
  <c r="AV346" i="1"/>
  <c r="AT346" i="1"/>
  <c r="AO347" i="1"/>
  <c r="C348" i="1"/>
  <c r="A349" i="1"/>
  <c r="AN348" i="1"/>
  <c r="BY347" i="1"/>
  <c r="AR347" i="1"/>
  <c r="AS347" i="1"/>
  <c r="CC347" i="1"/>
  <c r="CD347" i="1"/>
  <c r="BZ347" i="1" l="1"/>
  <c r="CG347" i="1"/>
  <c r="CE347" i="1"/>
  <c r="AT347" i="1"/>
  <c r="AV347" i="1"/>
  <c r="AO348" i="1"/>
  <c r="CH347" i="1"/>
  <c r="A350" i="1"/>
  <c r="C349" i="1"/>
  <c r="AW347" i="1"/>
  <c r="AN349" i="1"/>
  <c r="BY348" i="1"/>
  <c r="BZ348" i="1" s="1"/>
  <c r="AR348" i="1"/>
  <c r="AT348" i="1" s="1"/>
  <c r="AS348" i="1"/>
  <c r="CD348" i="1"/>
  <c r="CC348" i="1"/>
  <c r="CE348" i="1" l="1"/>
  <c r="CG348" i="1"/>
  <c r="AO349" i="1"/>
  <c r="AV348" i="1"/>
  <c r="BY349" i="1"/>
  <c r="BZ349" i="1" s="1"/>
  <c r="AN350" i="1"/>
  <c r="AR349" i="1"/>
  <c r="AT349" i="1" s="1"/>
  <c r="AS349" i="1"/>
  <c r="CD349" i="1"/>
  <c r="CC349" i="1"/>
  <c r="AW348" i="1"/>
  <c r="C350" i="1"/>
  <c r="A351" i="1"/>
  <c r="CH348" i="1"/>
  <c r="CG349" i="1" l="1"/>
  <c r="CE349" i="1"/>
  <c r="AO350" i="1"/>
  <c r="AV349" i="1"/>
  <c r="BY350" i="1"/>
  <c r="BZ350" i="1" s="1"/>
  <c r="AN351" i="1"/>
  <c r="AR350" i="1"/>
  <c r="AT350" i="1" s="1"/>
  <c r="AS350" i="1"/>
  <c r="CD350" i="1"/>
  <c r="CC350" i="1"/>
  <c r="AW349" i="1"/>
  <c r="C351" i="1"/>
  <c r="A352" i="1"/>
  <c r="CH349" i="1"/>
  <c r="AU351" i="1" l="1"/>
  <c r="CE350" i="1"/>
  <c r="CG350" i="1"/>
  <c r="AO351" i="1"/>
  <c r="AV350" i="1"/>
  <c r="AW350" i="1"/>
  <c r="AN352" i="1"/>
  <c r="BY351" i="1"/>
  <c r="CF351" i="1" s="1"/>
  <c r="AS351" i="1"/>
  <c r="AR351" i="1"/>
  <c r="AV351" i="1" s="1"/>
  <c r="CC351" i="1"/>
  <c r="CD351" i="1"/>
  <c r="C352" i="1"/>
  <c r="A353" i="1"/>
  <c r="CH350" i="1"/>
  <c r="CG351" i="1" l="1"/>
  <c r="CE351" i="1"/>
  <c r="BZ351" i="1"/>
  <c r="AO352" i="1"/>
  <c r="AT351" i="1"/>
  <c r="BY352" i="1"/>
  <c r="AN353" i="1"/>
  <c r="AS352" i="1"/>
  <c r="AR352" i="1"/>
  <c r="AV352" i="1" s="1"/>
  <c r="CD352" i="1"/>
  <c r="CC352" i="1"/>
  <c r="CH351" i="1"/>
  <c r="C353" i="1"/>
  <c r="A354" i="1"/>
  <c r="AW351" i="1"/>
  <c r="AU353" i="1" l="1"/>
  <c r="CU353" i="1" s="1"/>
  <c r="CE352" i="1"/>
  <c r="CG352" i="1"/>
  <c r="BZ352" i="1"/>
  <c r="AO353" i="1"/>
  <c r="AT352" i="1"/>
  <c r="AW352" i="1"/>
  <c r="C354" i="1"/>
  <c r="A355" i="1"/>
  <c r="BY353" i="1"/>
  <c r="CF353" i="1" s="1"/>
  <c r="AN354" i="1"/>
  <c r="AR353" i="1"/>
  <c r="AV353" i="1" s="1"/>
  <c r="AS353" i="1"/>
  <c r="CD353" i="1"/>
  <c r="CC353" i="1"/>
  <c r="CH352" i="1"/>
  <c r="CU355" i="1" l="1"/>
  <c r="CU354" i="1"/>
  <c r="CE353" i="1"/>
  <c r="CG353" i="1"/>
  <c r="BZ353" i="1"/>
  <c r="AO354" i="1"/>
  <c r="AT353" i="1"/>
  <c r="AW353" i="1"/>
  <c r="CH353" i="1"/>
  <c r="C355" i="1"/>
  <c r="A356" i="1"/>
  <c r="AN355" i="1"/>
  <c r="BY354" i="1"/>
  <c r="AR354" i="1"/>
  <c r="AV354" i="1" s="1"/>
  <c r="AS354" i="1"/>
  <c r="CC354" i="1"/>
  <c r="CD354" i="1"/>
  <c r="DE354" i="1" l="1"/>
  <c r="DE353" i="1"/>
  <c r="BZ354" i="1"/>
  <c r="CG354" i="1"/>
  <c r="CE354" i="1"/>
  <c r="AO355" i="1"/>
  <c r="AT354" i="1"/>
  <c r="AW354" i="1"/>
  <c r="AN356" i="1"/>
  <c r="BY355" i="1"/>
  <c r="BZ355" i="1" s="1"/>
  <c r="AS355" i="1"/>
  <c r="AR355" i="1"/>
  <c r="AV355" i="1" s="1"/>
  <c r="CD355" i="1"/>
  <c r="CC355" i="1"/>
  <c r="DA354" i="1" s="1"/>
  <c r="CH354" i="1"/>
  <c r="C356" i="1"/>
  <c r="A357" i="1"/>
  <c r="A358" i="1" s="1"/>
  <c r="C358" i="1" l="1"/>
  <c r="AN359" i="1" s="1"/>
  <c r="AO359" i="1" s="1"/>
  <c r="A359" i="1"/>
  <c r="CE355" i="1"/>
  <c r="CG355" i="1"/>
  <c r="AT355" i="1"/>
  <c r="AO356" i="1"/>
  <c r="DB355" i="1"/>
  <c r="DB353" i="1"/>
  <c r="DB354" i="1"/>
  <c r="AW355" i="1"/>
  <c r="CQ354" i="1"/>
  <c r="CQ353" i="1"/>
  <c r="CQ355" i="1"/>
  <c r="CR354" i="1"/>
  <c r="CR353" i="1"/>
  <c r="CR355" i="1"/>
  <c r="C357" i="1"/>
  <c r="BY356" i="1"/>
  <c r="BZ356" i="1" s="1"/>
  <c r="AN357" i="1"/>
  <c r="AS356" i="1"/>
  <c r="AR356" i="1"/>
  <c r="AV356" i="1" s="1"/>
  <c r="CC356" i="1"/>
  <c r="CD356" i="1"/>
  <c r="CH355" i="1"/>
  <c r="DA355" i="1"/>
  <c r="DA353" i="1"/>
  <c r="C359" i="1" l="1"/>
  <c r="A360" i="1"/>
  <c r="DF354" i="1"/>
  <c r="DF353" i="1"/>
  <c r="DF355" i="1"/>
  <c r="CE356" i="1"/>
  <c r="CG356" i="1"/>
  <c r="AT356" i="1"/>
  <c r="AO357" i="1"/>
  <c r="DC355" i="1"/>
  <c r="DC354" i="1"/>
  <c r="DC353" i="1"/>
  <c r="CH356" i="1"/>
  <c r="CS354" i="1"/>
  <c r="CS353" i="1"/>
  <c r="CS355" i="1"/>
  <c r="AW356" i="1"/>
  <c r="BY358" i="1"/>
  <c r="AS358" i="1"/>
  <c r="AR358" i="1"/>
  <c r="CC358" i="1"/>
  <c r="CD358" i="1"/>
  <c r="BY357" i="1"/>
  <c r="AN358" i="1"/>
  <c r="AR357" i="1"/>
  <c r="AS357" i="1"/>
  <c r="CC357" i="1"/>
  <c r="CD357" i="1"/>
  <c r="CW353" i="1"/>
  <c r="CW354" i="1"/>
  <c r="CW355" i="1"/>
  <c r="AU358" i="1" l="1"/>
  <c r="CF358" i="1"/>
  <c r="BZ358" i="1"/>
  <c r="CE358" i="1"/>
  <c r="CG358" i="1"/>
  <c r="C360" i="1"/>
  <c r="A361" i="1"/>
  <c r="AN360" i="1"/>
  <c r="BY359" i="1"/>
  <c r="BZ359" i="1" s="1"/>
  <c r="AS359" i="1"/>
  <c r="AR359" i="1"/>
  <c r="CD359" i="1"/>
  <c r="CC359" i="1"/>
  <c r="AO358" i="1"/>
  <c r="CG357" i="1"/>
  <c r="CE357" i="1"/>
  <c r="BZ357" i="1"/>
  <c r="AT357" i="1"/>
  <c r="AV357" i="1"/>
  <c r="AV358" i="1"/>
  <c r="AT358" i="1"/>
  <c r="CH358" i="1"/>
  <c r="AW357" i="1"/>
  <c r="AW358" i="1"/>
  <c r="CH357" i="1"/>
  <c r="AU360" i="1" l="1"/>
  <c r="CH359" i="1"/>
  <c r="CG359" i="1"/>
  <c r="CE359" i="1"/>
  <c r="BY360" i="1"/>
  <c r="CF360" i="1" s="1"/>
  <c r="AN361" i="1"/>
  <c r="AO361" i="1" s="1"/>
  <c r="AR360" i="1"/>
  <c r="CD360" i="1"/>
  <c r="AS360" i="1"/>
  <c r="CC360" i="1"/>
  <c r="AO360" i="1"/>
  <c r="AV359" i="1"/>
  <c r="AT359" i="1"/>
  <c r="AW359" i="1"/>
  <c r="A362" i="1"/>
  <c r="C361" i="1"/>
  <c r="AN362" i="1" l="1"/>
  <c r="BY361" i="1"/>
  <c r="BZ361" i="1" s="1"/>
  <c r="CD361" i="1"/>
  <c r="AR361" i="1"/>
  <c r="AS361" i="1"/>
  <c r="CC361" i="1"/>
  <c r="C362" i="1"/>
  <c r="A363" i="1"/>
  <c r="CE360" i="1"/>
  <c r="CG360" i="1"/>
  <c r="CH360" i="1"/>
  <c r="AT360" i="1"/>
  <c r="AW360" i="1"/>
  <c r="AV360" i="1"/>
  <c r="BZ360" i="1"/>
  <c r="C363" i="1" l="1"/>
  <c r="A364" i="1"/>
  <c r="BY362" i="1"/>
  <c r="AN363" i="1"/>
  <c r="AO363" i="1" s="1"/>
  <c r="AS362" i="1"/>
  <c r="AR362" i="1"/>
  <c r="CC362" i="1"/>
  <c r="CD362" i="1"/>
  <c r="AO362" i="1"/>
  <c r="CG361" i="1"/>
  <c r="CE361" i="1"/>
  <c r="CH361" i="1"/>
  <c r="AV361" i="1"/>
  <c r="AT361" i="1"/>
  <c r="AW361" i="1"/>
  <c r="CH362" i="1" l="1"/>
  <c r="CG362" i="1"/>
  <c r="CE362" i="1"/>
  <c r="BZ362" i="1"/>
  <c r="A365" i="1"/>
  <c r="C364" i="1"/>
  <c r="AW362" i="1"/>
  <c r="AT362" i="1"/>
  <c r="AV362" i="1"/>
  <c r="AN364" i="1"/>
  <c r="BY363" i="1"/>
  <c r="BZ363" i="1" s="1"/>
  <c r="AR363" i="1"/>
  <c r="CC363" i="1"/>
  <c r="AS363" i="1"/>
  <c r="CD363" i="1"/>
  <c r="AO364" i="1" l="1"/>
  <c r="AU364" i="1"/>
  <c r="A366" i="1"/>
  <c r="C365" i="1"/>
  <c r="CH363" i="1"/>
  <c r="CE363" i="1"/>
  <c r="AW363" i="1"/>
  <c r="AV363" i="1"/>
  <c r="AT363" i="1"/>
  <c r="BY364" i="1"/>
  <c r="AN365" i="1"/>
  <c r="AO365" i="1" s="1"/>
  <c r="AS364" i="1"/>
  <c r="CD364" i="1"/>
  <c r="DB374" i="1" s="1"/>
  <c r="AR364" i="1"/>
  <c r="CC364" i="1"/>
  <c r="BZ364" i="1" l="1"/>
  <c r="CF364" i="1"/>
  <c r="DB373" i="1"/>
  <c r="DB372" i="1"/>
  <c r="CG363" i="1"/>
  <c r="AN366" i="1"/>
  <c r="BY365" i="1"/>
  <c r="BZ365" i="1" s="1"/>
  <c r="CC365" i="1"/>
  <c r="AS365" i="1"/>
  <c r="CD365" i="1"/>
  <c r="AR365" i="1"/>
  <c r="AW364" i="1"/>
  <c r="AV364" i="1"/>
  <c r="AT364" i="1"/>
  <c r="C366" i="1"/>
  <c r="A367" i="1"/>
  <c r="CH364" i="1"/>
  <c r="CE364" i="1"/>
  <c r="DC372" i="1" s="1"/>
  <c r="CG364" i="1"/>
  <c r="CH365" i="1" l="1"/>
  <c r="CE365" i="1"/>
  <c r="CG365" i="1"/>
  <c r="AO366" i="1"/>
  <c r="C367" i="1"/>
  <c r="A368" i="1"/>
  <c r="BY366" i="1"/>
  <c r="AN367" i="1"/>
  <c r="AO367" i="1" s="1"/>
  <c r="CC366" i="1"/>
  <c r="CD366" i="1"/>
  <c r="AS366" i="1"/>
  <c r="AR366" i="1"/>
  <c r="AW365" i="1"/>
  <c r="AV365" i="1"/>
  <c r="AT365" i="1"/>
  <c r="CH366" i="1" l="1"/>
  <c r="CG366" i="1"/>
  <c r="CE366" i="1"/>
  <c r="AN368" i="1"/>
  <c r="BY367" i="1"/>
  <c r="BZ367" i="1" s="1"/>
  <c r="CD367" i="1"/>
  <c r="AR367" i="1"/>
  <c r="AS367" i="1"/>
  <c r="CC367" i="1"/>
  <c r="AW366" i="1"/>
  <c r="AV366" i="1"/>
  <c r="AT366" i="1"/>
  <c r="C368" i="1"/>
  <c r="A369" i="1"/>
  <c r="BZ366" i="1"/>
  <c r="CH367" i="1" l="1"/>
  <c r="CG367" i="1"/>
  <c r="CE367" i="1"/>
  <c r="AO368" i="1"/>
  <c r="BY368" i="1"/>
  <c r="AN369" i="1"/>
  <c r="AS368" i="1"/>
  <c r="CD368" i="1"/>
  <c r="AR368" i="1"/>
  <c r="CC368" i="1"/>
  <c r="A370" i="1"/>
  <c r="C369" i="1"/>
  <c r="AN370" i="1" s="1"/>
  <c r="AW367" i="1"/>
  <c r="AV367" i="1"/>
  <c r="AT367" i="1"/>
  <c r="C370" i="1" l="1"/>
  <c r="A371" i="1"/>
  <c r="CH368" i="1"/>
  <c r="CE368" i="1"/>
  <c r="CG368" i="1"/>
  <c r="AO369" i="1"/>
  <c r="BY369" i="1"/>
  <c r="CC369" i="1"/>
  <c r="AS369" i="1"/>
  <c r="AR369" i="1"/>
  <c r="AT369" i="1" s="1"/>
  <c r="CD369" i="1"/>
  <c r="AW368" i="1"/>
  <c r="AT368" i="1"/>
  <c r="AV368" i="1"/>
  <c r="BZ368" i="1"/>
  <c r="CH369" i="1" l="1"/>
  <c r="CG369" i="1"/>
  <c r="CE369" i="1"/>
  <c r="A372" i="1"/>
  <c r="C371" i="1"/>
  <c r="BZ369" i="1"/>
  <c r="BY370" i="1"/>
  <c r="AN371" i="1"/>
  <c r="AR370" i="1"/>
  <c r="CC370" i="1"/>
  <c r="AS370" i="1"/>
  <c r="CD370" i="1"/>
  <c r="AW369" i="1"/>
  <c r="AV369" i="1"/>
  <c r="AO370" i="1"/>
  <c r="CH370" i="1" l="1"/>
  <c r="CG370" i="1"/>
  <c r="CE370" i="1"/>
  <c r="AW370" i="1"/>
  <c r="AT370" i="1"/>
  <c r="AV370" i="1"/>
  <c r="AO371" i="1"/>
  <c r="AN372" i="1"/>
  <c r="BY371" i="1"/>
  <c r="AR371" i="1"/>
  <c r="CD371" i="1"/>
  <c r="AS371" i="1"/>
  <c r="CC371" i="1"/>
  <c r="BZ370" i="1"/>
  <c r="C372" i="1"/>
  <c r="A373" i="1"/>
  <c r="AU372" i="1" l="1"/>
  <c r="A374" i="1"/>
  <c r="C373" i="1"/>
  <c r="AW371" i="1"/>
  <c r="AV371" i="1"/>
  <c r="AT371" i="1"/>
  <c r="AN373" i="1"/>
  <c r="BY372" i="1"/>
  <c r="CC372" i="1"/>
  <c r="AR372" i="1"/>
  <c r="CD372" i="1"/>
  <c r="AS372" i="1"/>
  <c r="CH371" i="1"/>
  <c r="CG371" i="1"/>
  <c r="CE371" i="1"/>
  <c r="BZ371" i="1"/>
  <c r="AO372" i="1"/>
  <c r="BZ372" i="1" l="1"/>
  <c r="CF372" i="1"/>
  <c r="CH372" i="1"/>
  <c r="CG372" i="1"/>
  <c r="CE372" i="1"/>
  <c r="BY373" i="1"/>
  <c r="AN374" i="1"/>
  <c r="AS373" i="1"/>
  <c r="AR373" i="1"/>
  <c r="CD373" i="1"/>
  <c r="CC373" i="1"/>
  <c r="AO373" i="1"/>
  <c r="C374" i="1"/>
  <c r="A375" i="1"/>
  <c r="AW372" i="1"/>
  <c r="AT372" i="1"/>
  <c r="AV372" i="1"/>
  <c r="AU374" i="1" l="1"/>
  <c r="AW373" i="1"/>
  <c r="AV373" i="1"/>
  <c r="AT373" i="1"/>
  <c r="A376" i="1"/>
  <c r="C375" i="1"/>
  <c r="BY374" i="1"/>
  <c r="CF374" i="1" s="1"/>
  <c r="DE373" i="1" s="1"/>
  <c r="AN375" i="1"/>
  <c r="CC374" i="1"/>
  <c r="CD374" i="1"/>
  <c r="AS374" i="1"/>
  <c r="AR374" i="1"/>
  <c r="CH373" i="1"/>
  <c r="CG373" i="1"/>
  <c r="CE373" i="1"/>
  <c r="AO374" i="1"/>
  <c r="BZ373" i="1"/>
  <c r="AU375" i="1" l="1"/>
  <c r="DE374" i="1"/>
  <c r="AV374" i="1"/>
  <c r="AW374" i="1"/>
  <c r="AT374" i="1"/>
  <c r="CQ372" i="1"/>
  <c r="CQ373" i="1"/>
  <c r="CQ374" i="1"/>
  <c r="CR373" i="1"/>
  <c r="CR374" i="1"/>
  <c r="CR372" i="1"/>
  <c r="BZ374" i="1"/>
  <c r="AN376" i="1"/>
  <c r="AO376" i="1" s="1"/>
  <c r="BY375" i="1"/>
  <c r="AR375" i="1"/>
  <c r="CD375" i="1"/>
  <c r="AS375" i="1"/>
  <c r="CC375" i="1"/>
  <c r="DE372" i="1"/>
  <c r="C376" i="1"/>
  <c r="A377" i="1"/>
  <c r="AO375" i="1"/>
  <c r="CU372" i="1"/>
  <c r="CU374" i="1"/>
  <c r="CU373" i="1"/>
  <c r="CE374" i="1"/>
  <c r="CH374" i="1"/>
  <c r="CG374" i="1"/>
  <c r="DA373" i="1"/>
  <c r="DA372" i="1"/>
  <c r="DA374" i="1"/>
  <c r="CF375" i="1" l="1"/>
  <c r="CH375" i="1"/>
  <c r="CG375" i="1"/>
  <c r="CE375" i="1"/>
  <c r="BZ375" i="1"/>
  <c r="DF374" i="1"/>
  <c r="DF373" i="1"/>
  <c r="DF372" i="1"/>
  <c r="C377" i="1"/>
  <c r="AN378" i="1" s="1"/>
  <c r="A378" i="1"/>
  <c r="AN377" i="1"/>
  <c r="AO377" i="1" s="1"/>
  <c r="BY376" i="1"/>
  <c r="BZ376" i="1" s="1"/>
  <c r="CC376" i="1"/>
  <c r="CD376" i="1"/>
  <c r="AS376" i="1"/>
  <c r="AR376" i="1"/>
  <c r="CS374" i="1"/>
  <c r="CS373" i="1"/>
  <c r="CS372" i="1"/>
  <c r="CW374" i="1"/>
  <c r="CW372" i="1"/>
  <c r="CW373" i="1"/>
  <c r="DC374" i="1"/>
  <c r="DC373" i="1"/>
  <c r="AW375" i="1"/>
  <c r="AT375" i="1"/>
  <c r="AV375" i="1"/>
  <c r="A379" i="1" l="1"/>
  <c r="C378" i="1"/>
  <c r="AO378" i="1"/>
  <c r="BY377" i="1"/>
  <c r="AR377" i="1"/>
  <c r="CD377" i="1"/>
  <c r="AS377" i="1"/>
  <c r="CC377" i="1"/>
  <c r="AW376" i="1"/>
  <c r="AV376" i="1"/>
  <c r="AT376" i="1"/>
  <c r="CH376" i="1"/>
  <c r="CG376" i="1"/>
  <c r="CE376" i="1"/>
  <c r="CE377" i="1" l="1"/>
  <c r="CG377" i="1"/>
  <c r="CH377" i="1"/>
  <c r="BZ377" i="1"/>
  <c r="AN379" i="1"/>
  <c r="BY378" i="1"/>
  <c r="BZ378" i="1" s="1"/>
  <c r="CC378" i="1"/>
  <c r="AS378" i="1"/>
  <c r="CD378" i="1"/>
  <c r="AR378" i="1"/>
  <c r="AT378" i="1" s="1"/>
  <c r="AW377" i="1"/>
  <c r="AT377" i="1"/>
  <c r="AV377" i="1"/>
  <c r="A380" i="1"/>
  <c r="C379" i="1"/>
  <c r="AU379" i="1" l="1"/>
  <c r="BY379" i="1"/>
  <c r="CF379" i="1" s="1"/>
  <c r="AN380" i="1"/>
  <c r="AS379" i="1"/>
  <c r="CD379" i="1"/>
  <c r="CC379" i="1"/>
  <c r="AR379" i="1"/>
  <c r="CH378" i="1"/>
  <c r="C380" i="1"/>
  <c r="A381" i="1"/>
  <c r="AV378" i="1"/>
  <c r="AW378" i="1"/>
  <c r="AO379" i="1"/>
  <c r="CG378" i="1" l="1"/>
  <c r="CE378" i="1"/>
  <c r="AV379" i="1"/>
  <c r="AW379" i="1"/>
  <c r="AT379" i="1"/>
  <c r="CG379" i="1"/>
  <c r="CH379" i="1"/>
  <c r="CE379" i="1"/>
  <c r="AN381" i="1"/>
  <c r="BY380" i="1"/>
  <c r="AS380" i="1"/>
  <c r="CC380" i="1"/>
  <c r="AR380" i="1"/>
  <c r="AT380" i="1" s="1"/>
  <c r="CD380" i="1"/>
  <c r="AO380" i="1"/>
  <c r="C381" i="1"/>
  <c r="A382" i="1"/>
  <c r="BZ379" i="1"/>
  <c r="BY381" i="1" l="1"/>
  <c r="AN382" i="1"/>
  <c r="AS381" i="1"/>
  <c r="CD381" i="1"/>
  <c r="AR381" i="1"/>
  <c r="CC381" i="1"/>
  <c r="AW380" i="1"/>
  <c r="AV380" i="1"/>
  <c r="AO381" i="1"/>
  <c r="CE380" i="1"/>
  <c r="CH380" i="1"/>
  <c r="CG380" i="1"/>
  <c r="A383" i="1"/>
  <c r="C382" i="1"/>
  <c r="BZ380" i="1"/>
  <c r="CH381" i="1" l="1"/>
  <c r="CE381" i="1"/>
  <c r="CG381" i="1"/>
  <c r="AO382" i="1"/>
  <c r="AN383" i="1"/>
  <c r="AO383" i="1" s="1"/>
  <c r="BY382" i="1"/>
  <c r="CC382" i="1"/>
  <c r="CD382" i="1"/>
  <c r="AS382" i="1"/>
  <c r="AR382" i="1"/>
  <c r="AT381" i="1"/>
  <c r="AW381" i="1"/>
  <c r="AV381" i="1"/>
  <c r="BZ381" i="1"/>
  <c r="A384" i="1"/>
  <c r="C383" i="1"/>
  <c r="BY383" i="1" l="1"/>
  <c r="AN384" i="1"/>
  <c r="CD383" i="1"/>
  <c r="CC383" i="1"/>
  <c r="AR383" i="1"/>
  <c r="AS383" i="1"/>
  <c r="CG382" i="1"/>
  <c r="CH382" i="1"/>
  <c r="CE382" i="1"/>
  <c r="AT382" i="1"/>
  <c r="AV382" i="1"/>
  <c r="AW382" i="1"/>
  <c r="BZ382" i="1"/>
  <c r="C384" i="1"/>
  <c r="A385" i="1"/>
  <c r="AO384" i="1" l="1"/>
  <c r="AV383" i="1"/>
  <c r="AW383" i="1"/>
  <c r="AT383" i="1"/>
  <c r="BZ383" i="1"/>
  <c r="CG383" i="1"/>
  <c r="CE383" i="1"/>
  <c r="CH383" i="1"/>
  <c r="C385" i="1"/>
  <c r="A386" i="1"/>
  <c r="AN385" i="1"/>
  <c r="AO385" i="1" s="1"/>
  <c r="BY384" i="1"/>
  <c r="CD384" i="1"/>
  <c r="AS384" i="1"/>
  <c r="AR384" i="1"/>
  <c r="CC384" i="1"/>
  <c r="BZ384" i="1" l="1"/>
  <c r="CE384" i="1"/>
  <c r="CH384" i="1"/>
  <c r="CG384" i="1"/>
  <c r="AW384" i="1"/>
  <c r="AV384" i="1"/>
  <c r="AT384" i="1"/>
  <c r="A387" i="1"/>
  <c r="C386" i="1"/>
  <c r="BY385" i="1"/>
  <c r="BZ385" i="1" s="1"/>
  <c r="AN386" i="1"/>
  <c r="AR385" i="1"/>
  <c r="CD385" i="1"/>
  <c r="AS385" i="1"/>
  <c r="CC385" i="1"/>
  <c r="AU386" i="1" l="1"/>
  <c r="AT385" i="1"/>
  <c r="AW385" i="1"/>
  <c r="AV385" i="1"/>
  <c r="BY386" i="1"/>
  <c r="CF386" i="1" s="1"/>
  <c r="AN387" i="1"/>
  <c r="CC386" i="1"/>
  <c r="AR386" i="1"/>
  <c r="CD386" i="1"/>
  <c r="AS386" i="1"/>
  <c r="CH385" i="1"/>
  <c r="CE385" i="1"/>
  <c r="CG385" i="1"/>
  <c r="AO386" i="1"/>
  <c r="C387" i="1"/>
  <c r="A388" i="1"/>
  <c r="AU387" i="1" l="1"/>
  <c r="A389" i="1"/>
  <c r="C388" i="1"/>
  <c r="BZ386" i="1"/>
  <c r="BY387" i="1"/>
  <c r="AN388" i="1"/>
  <c r="AR387" i="1"/>
  <c r="CC387" i="1"/>
  <c r="AS387" i="1"/>
  <c r="CD387" i="1"/>
  <c r="AT386" i="1"/>
  <c r="AV386" i="1"/>
  <c r="AW386" i="1"/>
  <c r="CH386" i="1"/>
  <c r="CE386" i="1"/>
  <c r="AO387" i="1"/>
  <c r="AU388" i="1" l="1"/>
  <c r="CF387" i="1"/>
  <c r="CG387" i="1"/>
  <c r="BZ387" i="1"/>
  <c r="CG386" i="1"/>
  <c r="AT387" i="1"/>
  <c r="AW387" i="1"/>
  <c r="AV387" i="1"/>
  <c r="AO388" i="1"/>
  <c r="BY388" i="1"/>
  <c r="CF388" i="1" s="1"/>
  <c r="AN389" i="1"/>
  <c r="CD388" i="1"/>
  <c r="AS388" i="1"/>
  <c r="CC388" i="1"/>
  <c r="AR388" i="1"/>
  <c r="CE387" i="1"/>
  <c r="CH387" i="1"/>
  <c r="C389" i="1"/>
  <c r="A390" i="1"/>
  <c r="AO389" i="1" l="1"/>
  <c r="AN390" i="1"/>
  <c r="BY389" i="1"/>
  <c r="CC389" i="1"/>
  <c r="AS389" i="1"/>
  <c r="CD389" i="1"/>
  <c r="AR389" i="1"/>
  <c r="CE388" i="1"/>
  <c r="CG388" i="1"/>
  <c r="CH388" i="1"/>
  <c r="BZ388" i="1"/>
  <c r="A391" i="1"/>
  <c r="C390" i="1"/>
  <c r="AW388" i="1"/>
  <c r="AV388" i="1"/>
  <c r="AT388" i="1"/>
  <c r="AO390" i="1" l="1"/>
  <c r="BZ389" i="1"/>
  <c r="C391" i="1"/>
  <c r="A392" i="1"/>
  <c r="AW389" i="1"/>
  <c r="AT389" i="1"/>
  <c r="AV389" i="1"/>
  <c r="BY390" i="1"/>
  <c r="AN391" i="1"/>
  <c r="AS390" i="1"/>
  <c r="AR390" i="1"/>
  <c r="CC390" i="1"/>
  <c r="CD390" i="1"/>
  <c r="CG389" i="1"/>
  <c r="CH389" i="1"/>
  <c r="CE389" i="1"/>
  <c r="AO391" i="1" l="1"/>
  <c r="BZ390" i="1"/>
  <c r="CG390" i="1"/>
  <c r="CE390" i="1"/>
  <c r="CH390" i="1"/>
  <c r="A393" i="1"/>
  <c r="C392" i="1"/>
  <c r="AN393" i="1" s="1"/>
  <c r="AT390" i="1"/>
  <c r="AV390" i="1"/>
  <c r="AW390" i="1"/>
  <c r="BY391" i="1"/>
  <c r="AN392" i="1"/>
  <c r="AO392" i="1" s="1"/>
  <c r="CD391" i="1"/>
  <c r="CC391" i="1"/>
  <c r="AR391" i="1"/>
  <c r="AS391" i="1"/>
  <c r="BZ391" i="1" l="1"/>
  <c r="AO393" i="1"/>
  <c r="CG391" i="1"/>
  <c r="CE391" i="1"/>
  <c r="CH391" i="1"/>
  <c r="C393" i="1"/>
  <c r="AU393" i="1" s="1"/>
  <c r="A394" i="1"/>
  <c r="AT391" i="1"/>
  <c r="AV391" i="1"/>
  <c r="AW391" i="1"/>
  <c r="BY392" i="1"/>
  <c r="BZ392" i="1" s="1"/>
  <c r="AR392" i="1"/>
  <c r="CD392" i="1"/>
  <c r="AS392" i="1"/>
  <c r="CC392" i="1"/>
  <c r="BY393" i="1" l="1"/>
  <c r="AN394" i="1"/>
  <c r="CC393" i="1"/>
  <c r="AR393" i="1"/>
  <c r="AS393" i="1"/>
  <c r="CD393" i="1"/>
  <c r="AW392" i="1"/>
  <c r="AT392" i="1"/>
  <c r="AV392" i="1"/>
  <c r="CH392" i="1"/>
  <c r="CG392" i="1"/>
  <c r="CE392" i="1"/>
  <c r="A395" i="1"/>
  <c r="C394" i="1"/>
  <c r="BZ393" i="1" l="1"/>
  <c r="CF393" i="1"/>
  <c r="BY394" i="1"/>
  <c r="AN395" i="1"/>
  <c r="CC394" i="1"/>
  <c r="AS394" i="1"/>
  <c r="CD394" i="1"/>
  <c r="AR394" i="1"/>
  <c r="CE393" i="1"/>
  <c r="CG393" i="1"/>
  <c r="CH393" i="1"/>
  <c r="C395" i="1"/>
  <c r="A396" i="1"/>
  <c r="AV393" i="1"/>
  <c r="AW393" i="1"/>
  <c r="AT393" i="1"/>
  <c r="AO394" i="1"/>
  <c r="AU395" i="1" l="1"/>
  <c r="C396" i="1"/>
  <c r="A397" i="1"/>
  <c r="CG394" i="1"/>
  <c r="CH394" i="1"/>
  <c r="CE394" i="1"/>
  <c r="BZ394" i="1"/>
  <c r="BY395" i="1"/>
  <c r="CF395" i="1" s="1"/>
  <c r="AN396" i="1"/>
  <c r="AR395" i="1"/>
  <c r="CC395" i="1"/>
  <c r="CD395" i="1"/>
  <c r="AS395" i="1"/>
  <c r="AT394" i="1"/>
  <c r="AV394" i="1"/>
  <c r="AW394" i="1"/>
  <c r="AO395" i="1"/>
  <c r="CG395" i="1" l="1"/>
  <c r="CE395" i="1"/>
  <c r="CH395" i="1"/>
  <c r="AO396" i="1"/>
  <c r="BY396" i="1"/>
  <c r="AN397" i="1"/>
  <c r="AO397" i="1" s="1"/>
  <c r="AR396" i="1"/>
  <c r="CD396" i="1"/>
  <c r="AS396" i="1"/>
  <c r="CC396" i="1"/>
  <c r="AT395" i="1"/>
  <c r="AW395" i="1"/>
  <c r="AV395" i="1"/>
  <c r="BZ395" i="1"/>
  <c r="A398" i="1"/>
  <c r="C397" i="1"/>
  <c r="BY397" i="1" l="1"/>
  <c r="BZ397" i="1" s="1"/>
  <c r="AN398" i="1"/>
  <c r="AR397" i="1"/>
  <c r="CC397" i="1"/>
  <c r="AS397" i="1"/>
  <c r="CD397" i="1"/>
  <c r="AV396" i="1"/>
  <c r="AT396" i="1"/>
  <c r="AW396" i="1"/>
  <c r="BZ396" i="1"/>
  <c r="A399" i="1"/>
  <c r="C398" i="1"/>
  <c r="CH396" i="1"/>
  <c r="CG396" i="1"/>
  <c r="CE396" i="1"/>
  <c r="A400" i="1" l="1"/>
  <c r="C399" i="1"/>
  <c r="AW397" i="1"/>
  <c r="AV397" i="1"/>
  <c r="AT397" i="1"/>
  <c r="BY398" i="1"/>
  <c r="AN399" i="1"/>
  <c r="AR398" i="1"/>
  <c r="CD398" i="1"/>
  <c r="AS398" i="1"/>
  <c r="CC398" i="1"/>
  <c r="CE397" i="1"/>
  <c r="CH397" i="1"/>
  <c r="AO398" i="1"/>
  <c r="CG397" i="1" l="1"/>
  <c r="CH398" i="1"/>
  <c r="CG398" i="1"/>
  <c r="AO399" i="1"/>
  <c r="C400" i="1"/>
  <c r="A401" i="1"/>
  <c r="AV398" i="1"/>
  <c r="AT398" i="1"/>
  <c r="AW398" i="1"/>
  <c r="BZ398" i="1"/>
  <c r="BY399" i="1"/>
  <c r="BZ399" i="1" s="1"/>
  <c r="AN400" i="1"/>
  <c r="AS399" i="1"/>
  <c r="CD399" i="1"/>
  <c r="AR399" i="1"/>
  <c r="CC399" i="1"/>
  <c r="AO400" i="1" l="1"/>
  <c r="AU400" i="1"/>
  <c r="CE398" i="1"/>
  <c r="AT399" i="1"/>
  <c r="CG399" i="1"/>
  <c r="CE399" i="1"/>
  <c r="CH399" i="1"/>
  <c r="A402" i="1"/>
  <c r="C401" i="1"/>
  <c r="AW399" i="1"/>
  <c r="AV399" i="1"/>
  <c r="BY400" i="1"/>
  <c r="CF400" i="1" s="1"/>
  <c r="AN401" i="1"/>
  <c r="CD400" i="1"/>
  <c r="AS400" i="1"/>
  <c r="AR400" i="1"/>
  <c r="CC400" i="1"/>
  <c r="AO401" i="1" l="1"/>
  <c r="AT400" i="1"/>
  <c r="AW400" i="1"/>
  <c r="AV400" i="1"/>
  <c r="BZ400" i="1"/>
  <c r="AN402" i="1"/>
  <c r="BY401" i="1"/>
  <c r="CD401" i="1"/>
  <c r="AR401" i="1"/>
  <c r="CC401" i="1"/>
  <c r="AS401" i="1"/>
  <c r="CH400" i="1"/>
  <c r="CG400" i="1"/>
  <c r="CE400" i="1"/>
  <c r="A403" i="1"/>
  <c r="C402" i="1"/>
  <c r="AU402" i="1" l="1"/>
  <c r="BZ401" i="1"/>
  <c r="A404" i="1"/>
  <c r="C403" i="1"/>
  <c r="AW401" i="1"/>
  <c r="AV401" i="1"/>
  <c r="AT401" i="1"/>
  <c r="BY402" i="1"/>
  <c r="AN403" i="1"/>
  <c r="AS402" i="1"/>
  <c r="AR402" i="1"/>
  <c r="CC402" i="1"/>
  <c r="CD402" i="1"/>
  <c r="CG401" i="1"/>
  <c r="CH401" i="1"/>
  <c r="CE401" i="1"/>
  <c r="AO402" i="1"/>
  <c r="BZ402" i="1" l="1"/>
  <c r="CF402" i="1"/>
  <c r="AO403" i="1"/>
  <c r="AV402" i="1"/>
  <c r="AT402" i="1"/>
  <c r="AW402" i="1"/>
  <c r="A405" i="1"/>
  <c r="C404" i="1"/>
  <c r="CG402" i="1"/>
  <c r="CH402" i="1"/>
  <c r="CE402" i="1"/>
  <c r="AN404" i="1"/>
  <c r="AO404" i="1" s="1"/>
  <c r="BY403" i="1"/>
  <c r="AR403" i="1"/>
  <c r="CD403" i="1"/>
  <c r="AS403" i="1"/>
  <c r="CC403" i="1"/>
  <c r="BZ403" i="1" l="1"/>
  <c r="AW403" i="1"/>
  <c r="AV403" i="1"/>
  <c r="AT403" i="1"/>
  <c r="BY404" i="1"/>
  <c r="BZ404" i="1" s="1"/>
  <c r="AN405" i="1"/>
  <c r="CD404" i="1"/>
  <c r="AR404" i="1"/>
  <c r="CC404" i="1"/>
  <c r="AS404" i="1"/>
  <c r="CE403" i="1"/>
  <c r="CH403" i="1"/>
  <c r="A406" i="1"/>
  <c r="C405" i="1"/>
  <c r="AN406" i="1" s="1"/>
  <c r="AO406" i="1" s="1"/>
  <c r="CG403" i="1" l="1"/>
  <c r="AO405" i="1"/>
  <c r="A407" i="1"/>
  <c r="C406" i="1"/>
  <c r="AV404" i="1"/>
  <c r="AT404" i="1"/>
  <c r="AW404" i="1"/>
  <c r="BY405" i="1"/>
  <c r="AS405" i="1"/>
  <c r="CD405" i="1"/>
  <c r="AR405" i="1"/>
  <c r="CC405" i="1"/>
  <c r="CG404" i="1"/>
  <c r="CH404" i="1"/>
  <c r="CE404" i="1"/>
  <c r="BZ405" i="1" l="1"/>
  <c r="BY406" i="1"/>
  <c r="BZ406" i="1" s="1"/>
  <c r="AN407" i="1"/>
  <c r="CC406" i="1"/>
  <c r="AR406" i="1"/>
  <c r="CD406" i="1"/>
  <c r="AS406" i="1"/>
  <c r="AW405" i="1"/>
  <c r="AT405" i="1"/>
  <c r="A408" i="1"/>
  <c r="C407" i="1"/>
  <c r="CE405" i="1"/>
  <c r="CG405" i="1"/>
  <c r="CH405" i="1"/>
  <c r="AV405" i="1" l="1"/>
  <c r="AU407" i="1"/>
  <c r="AN408" i="1"/>
  <c r="BY407" i="1"/>
  <c r="CF407" i="1" s="1"/>
  <c r="CC407" i="1"/>
  <c r="AR407" i="1"/>
  <c r="CD407" i="1"/>
  <c r="AS407" i="1"/>
  <c r="CH406" i="1"/>
  <c r="C408" i="1"/>
  <c r="A409" i="1"/>
  <c r="AO407" i="1"/>
  <c r="AW406" i="1"/>
  <c r="AT406" i="1"/>
  <c r="AV406" i="1"/>
  <c r="CE406" i="1" l="1"/>
  <c r="A410" i="1"/>
  <c r="C409" i="1"/>
  <c r="BY408" i="1"/>
  <c r="AN409" i="1"/>
  <c r="CD408" i="1"/>
  <c r="AR408" i="1"/>
  <c r="CC408" i="1"/>
  <c r="AS408" i="1"/>
  <c r="BZ407" i="1"/>
  <c r="CG406" i="1"/>
  <c r="AO408" i="1"/>
  <c r="AV407" i="1"/>
  <c r="AT407" i="1"/>
  <c r="AW407" i="1"/>
  <c r="CE407" i="1"/>
  <c r="CH407" i="1"/>
  <c r="AU409" i="1" l="1"/>
  <c r="CG407" i="1"/>
  <c r="AT408" i="1"/>
  <c r="AV408" i="1"/>
  <c r="AW408" i="1"/>
  <c r="A411" i="1"/>
  <c r="C410" i="1"/>
  <c r="AO409" i="1"/>
  <c r="BY409" i="1"/>
  <c r="CF409" i="1" s="1"/>
  <c r="AN410" i="1"/>
  <c r="AR409" i="1"/>
  <c r="CC409" i="1"/>
  <c r="AS409" i="1"/>
  <c r="CD409" i="1"/>
  <c r="CG408" i="1"/>
  <c r="CH408" i="1"/>
  <c r="BZ408" i="1"/>
  <c r="CE408" i="1" l="1"/>
  <c r="AW409" i="1"/>
  <c r="AT409" i="1"/>
  <c r="AV409" i="1"/>
  <c r="AO410" i="1"/>
  <c r="AN411" i="1"/>
  <c r="AO411" i="1" s="1"/>
  <c r="BY410" i="1"/>
  <c r="CC410" i="1"/>
  <c r="AR410" i="1"/>
  <c r="CD410" i="1"/>
  <c r="AS410" i="1"/>
  <c r="BZ409" i="1"/>
  <c r="A412" i="1"/>
  <c r="C411" i="1"/>
  <c r="CE409" i="1"/>
  <c r="CH409" i="1"/>
  <c r="CG409" i="1"/>
  <c r="A413" i="1" l="1"/>
  <c r="C412" i="1"/>
  <c r="AV410" i="1"/>
  <c r="AT410" i="1"/>
  <c r="AW410" i="1"/>
  <c r="CH410" i="1"/>
  <c r="CG410" i="1"/>
  <c r="AN412" i="1"/>
  <c r="BY411" i="1"/>
  <c r="CC411" i="1"/>
  <c r="CD411" i="1"/>
  <c r="AS411" i="1"/>
  <c r="AR411" i="1"/>
  <c r="BZ410" i="1"/>
  <c r="BZ411" i="1" l="1"/>
  <c r="AO412" i="1"/>
  <c r="CE410" i="1"/>
  <c r="BY412" i="1"/>
  <c r="AN413" i="1"/>
  <c r="AS412" i="1"/>
  <c r="CC412" i="1"/>
  <c r="CD412" i="1"/>
  <c r="AR412" i="1"/>
  <c r="CH411" i="1"/>
  <c r="CG411" i="1"/>
  <c r="AV411" i="1"/>
  <c r="AT411" i="1"/>
  <c r="AW411" i="1"/>
  <c r="A414" i="1"/>
  <c r="C413" i="1"/>
  <c r="AN414" i="1" s="1"/>
  <c r="AO414" i="1" l="1"/>
  <c r="BZ412" i="1"/>
  <c r="CE411" i="1"/>
  <c r="CG412" i="1"/>
  <c r="CH412" i="1"/>
  <c r="A415" i="1"/>
  <c r="C414" i="1"/>
  <c r="AU414" i="1" s="1"/>
  <c r="AT412" i="1"/>
  <c r="AV412" i="1"/>
  <c r="AW412" i="1"/>
  <c r="AO413" i="1"/>
  <c r="BY413" i="1"/>
  <c r="CC413" i="1"/>
  <c r="AS413" i="1"/>
  <c r="CD413" i="1"/>
  <c r="AR413" i="1"/>
  <c r="BZ413" i="1" l="1"/>
  <c r="AN415" i="1"/>
  <c r="AO415" i="1" s="1"/>
  <c r="BY414" i="1"/>
  <c r="AR414" i="1"/>
  <c r="CC414" i="1"/>
  <c r="CD414" i="1"/>
  <c r="AS414" i="1"/>
  <c r="AW413" i="1"/>
  <c r="AV413" i="1"/>
  <c r="AT413" i="1"/>
  <c r="CE412" i="1"/>
  <c r="CH413" i="1"/>
  <c r="A416" i="1"/>
  <c r="C415" i="1"/>
  <c r="CG413" i="1" l="1"/>
  <c r="CF414" i="1"/>
  <c r="CE413" i="1"/>
  <c r="C416" i="1"/>
  <c r="A417" i="1"/>
  <c r="BZ414" i="1"/>
  <c r="CH414" i="1"/>
  <c r="BY415" i="1"/>
  <c r="BZ415" i="1" s="1"/>
  <c r="AN416" i="1"/>
  <c r="AR415" i="1"/>
  <c r="AS415" i="1"/>
  <c r="CD415" i="1"/>
  <c r="CC415" i="1"/>
  <c r="AV414" i="1"/>
  <c r="AW414" i="1"/>
  <c r="AT414" i="1"/>
  <c r="AU416" i="1" l="1"/>
  <c r="CE414" i="1"/>
  <c r="CG414" i="1"/>
  <c r="A418" i="1"/>
  <c r="C417" i="1"/>
  <c r="AV415" i="1"/>
  <c r="AT415" i="1"/>
  <c r="AW415" i="1"/>
  <c r="CH415" i="1"/>
  <c r="AO416" i="1"/>
  <c r="BY416" i="1"/>
  <c r="AN417" i="1"/>
  <c r="AO417" i="1" s="1"/>
  <c r="AS416" i="1"/>
  <c r="CD416" i="1"/>
  <c r="AR416" i="1"/>
  <c r="CC416" i="1"/>
  <c r="CG415" i="1" l="1"/>
  <c r="CF416" i="1"/>
  <c r="AW416" i="1"/>
  <c r="AT416" i="1"/>
  <c r="AV416" i="1"/>
  <c r="CE415" i="1"/>
  <c r="BY417" i="1"/>
  <c r="BZ417" i="1" s="1"/>
  <c r="CD417" i="1"/>
  <c r="CC417" i="1"/>
  <c r="AR417" i="1"/>
  <c r="AS417" i="1"/>
  <c r="BZ416" i="1"/>
  <c r="CH416" i="1"/>
  <c r="A419" i="1"/>
  <c r="C418" i="1"/>
  <c r="AN419" i="1" s="1"/>
  <c r="CG416" i="1" l="1"/>
  <c r="AO419" i="1"/>
  <c r="CH417" i="1"/>
  <c r="CG417" i="1"/>
  <c r="CE417" i="1"/>
  <c r="A420" i="1"/>
  <c r="C419" i="1"/>
  <c r="CE416" i="1"/>
  <c r="AW417" i="1"/>
  <c r="AV417" i="1"/>
  <c r="AT417" i="1"/>
  <c r="A421" i="1" l="1"/>
  <c r="A422" i="1" s="1"/>
  <c r="C420" i="1"/>
  <c r="AN421" i="1" s="1"/>
  <c r="AO421" i="1" s="1"/>
  <c r="AN420" i="1"/>
  <c r="BY419" i="1"/>
  <c r="AS419" i="1"/>
  <c r="AR419" i="1"/>
  <c r="CD419" i="1"/>
  <c r="CC419" i="1"/>
  <c r="BZ419" i="1" l="1"/>
  <c r="A423" i="1"/>
  <c r="C422" i="1"/>
  <c r="AR422" i="1" s="1"/>
  <c r="CH419" i="1"/>
  <c r="AO420" i="1"/>
  <c r="BY420" i="1"/>
  <c r="BZ420" i="1" s="1"/>
  <c r="CC420" i="1"/>
  <c r="CD420" i="1"/>
  <c r="AR420" i="1"/>
  <c r="AS420" i="1"/>
  <c r="AT419" i="1"/>
  <c r="AW419" i="1"/>
  <c r="AV419" i="1"/>
  <c r="C421" i="1"/>
  <c r="AN423" i="1" l="1"/>
  <c r="AO423" i="1" s="1"/>
  <c r="BY422" i="1"/>
  <c r="CD422" i="1"/>
  <c r="CC422" i="1"/>
  <c r="AS422" i="1"/>
  <c r="BY421" i="1"/>
  <c r="AN422" i="1"/>
  <c r="AS421" i="1"/>
  <c r="AR421" i="1"/>
  <c r="CD421" i="1"/>
  <c r="CC421" i="1"/>
  <c r="A424" i="1"/>
  <c r="C423" i="1"/>
  <c r="AT420" i="1"/>
  <c r="AW420" i="1"/>
  <c r="AV420" i="1"/>
  <c r="CG419" i="1"/>
  <c r="CG420" i="1"/>
  <c r="CH420" i="1"/>
  <c r="CE419" i="1"/>
  <c r="AU422" i="1" l="1"/>
  <c r="BZ421" i="1"/>
  <c r="CF422" i="1"/>
  <c r="BY423" i="1"/>
  <c r="BZ423" i="1" s="1"/>
  <c r="AN424" i="1"/>
  <c r="AS423" i="1"/>
  <c r="CD423" i="1"/>
  <c r="CC423" i="1"/>
  <c r="AR423" i="1"/>
  <c r="AT421" i="1"/>
  <c r="AV421" i="1"/>
  <c r="AW421" i="1"/>
  <c r="BZ422" i="1"/>
  <c r="A425" i="1"/>
  <c r="C424" i="1"/>
  <c r="AW422" i="1"/>
  <c r="AV422" i="1"/>
  <c r="AT422" i="1"/>
  <c r="CE420" i="1"/>
  <c r="CH421" i="1"/>
  <c r="CE421" i="1"/>
  <c r="CG421" i="1"/>
  <c r="AO422" i="1"/>
  <c r="CH422" i="1"/>
  <c r="CG422" i="1" l="1"/>
  <c r="CE422" i="1"/>
  <c r="AO424" i="1"/>
  <c r="A426" i="1"/>
  <c r="C425" i="1"/>
  <c r="AW423" i="1"/>
  <c r="AV423" i="1"/>
  <c r="AT423" i="1"/>
  <c r="AN425" i="1"/>
  <c r="BY424" i="1"/>
  <c r="CE423" i="1" s="1"/>
  <c r="AR424" i="1"/>
  <c r="AS424" i="1"/>
  <c r="CC424" i="1"/>
  <c r="CD424" i="1"/>
  <c r="CH423" i="1"/>
  <c r="CG423" i="1" l="1"/>
  <c r="BZ424" i="1"/>
  <c r="CH424" i="1"/>
  <c r="AO425" i="1"/>
  <c r="BY425" i="1"/>
  <c r="BZ425" i="1" s="1"/>
  <c r="AN426" i="1"/>
  <c r="AR425" i="1"/>
  <c r="CC425" i="1"/>
  <c r="CD425" i="1"/>
  <c r="AS425" i="1"/>
  <c r="AT424" i="1"/>
  <c r="AW424" i="1"/>
  <c r="AV424" i="1"/>
  <c r="A427" i="1"/>
  <c r="A428" i="1" s="1"/>
  <c r="C426" i="1"/>
  <c r="A429" i="1" l="1"/>
  <c r="C428" i="1"/>
  <c r="AN429" i="1" s="1"/>
  <c r="AO429" i="1" s="1"/>
  <c r="AO426" i="1"/>
  <c r="CH425" i="1"/>
  <c r="CG424" i="1"/>
  <c r="AT425" i="1"/>
  <c r="AV425" i="1"/>
  <c r="AW425" i="1"/>
  <c r="AN427" i="1"/>
  <c r="BY426" i="1"/>
  <c r="BZ426" i="1" s="1"/>
  <c r="CC426" i="1"/>
  <c r="AR426" i="1"/>
  <c r="CD426" i="1"/>
  <c r="AS426" i="1"/>
  <c r="C427" i="1"/>
  <c r="CE424" i="1"/>
  <c r="A430" i="1" l="1"/>
  <c r="C429" i="1"/>
  <c r="BY427" i="1"/>
  <c r="CE426" i="1" s="1"/>
  <c r="AN428" i="1"/>
  <c r="AS427" i="1"/>
  <c r="CC427" i="1"/>
  <c r="CD427" i="1"/>
  <c r="AR427" i="1"/>
  <c r="AV426" i="1"/>
  <c r="AT426" i="1"/>
  <c r="AW426" i="1"/>
  <c r="CG426" i="1"/>
  <c r="CH426" i="1"/>
  <c r="CE425" i="1"/>
  <c r="BY428" i="1"/>
  <c r="CD428" i="1"/>
  <c r="CC428" i="1"/>
  <c r="AR428" i="1"/>
  <c r="AS428" i="1"/>
  <c r="AO427" i="1"/>
  <c r="CG425" i="1"/>
  <c r="AN430" i="1" l="1"/>
  <c r="BY429" i="1"/>
  <c r="BZ429" i="1" s="1"/>
  <c r="AR429" i="1"/>
  <c r="AS429" i="1"/>
  <c r="CC429" i="1"/>
  <c r="CD429" i="1"/>
  <c r="A431" i="1"/>
  <c r="C430" i="1"/>
  <c r="BZ428" i="1"/>
  <c r="CF428" i="1"/>
  <c r="AO428" i="1"/>
  <c r="AU428" i="1"/>
  <c r="CH428" i="1"/>
  <c r="CG427" i="1"/>
  <c r="CH427" i="1"/>
  <c r="CE427" i="1"/>
  <c r="AW427" i="1"/>
  <c r="AV427" i="1"/>
  <c r="AT427" i="1"/>
  <c r="AT428" i="1"/>
  <c r="AW428" i="1"/>
  <c r="AV428" i="1"/>
  <c r="BZ427" i="1"/>
  <c r="BY430" i="1" l="1"/>
  <c r="AN431" i="1"/>
  <c r="AS430" i="1"/>
  <c r="CC430" i="1"/>
  <c r="AR430" i="1"/>
  <c r="CD430" i="1"/>
  <c r="CE428" i="1"/>
  <c r="A432" i="1"/>
  <c r="C431" i="1"/>
  <c r="AT429" i="1"/>
  <c r="AW429" i="1"/>
  <c r="AV429" i="1"/>
  <c r="CG428" i="1"/>
  <c r="CG429" i="1"/>
  <c r="CH429" i="1"/>
  <c r="CE429" i="1"/>
  <c r="AO430" i="1"/>
  <c r="AU430" i="1"/>
  <c r="A433" i="1" l="1"/>
  <c r="C432" i="1"/>
  <c r="CH430" i="1"/>
  <c r="AO431" i="1"/>
  <c r="AN432" i="1"/>
  <c r="BY431" i="1"/>
  <c r="CE430" i="1" s="1"/>
  <c r="CC431" i="1"/>
  <c r="CD431" i="1"/>
  <c r="AR431" i="1"/>
  <c r="AS431" i="1"/>
  <c r="AT430" i="1"/>
  <c r="AV430" i="1"/>
  <c r="AW430" i="1"/>
  <c r="BZ430" i="1"/>
  <c r="CF430" i="1"/>
  <c r="CG430" i="1" l="1"/>
  <c r="CH431" i="1"/>
  <c r="AW431" i="1"/>
  <c r="AV431" i="1"/>
  <c r="AT431" i="1"/>
  <c r="AO432" i="1"/>
  <c r="BY432" i="1"/>
  <c r="CE431" i="1" s="1"/>
  <c r="AN433" i="1"/>
  <c r="CC432" i="1"/>
  <c r="AR432" i="1"/>
  <c r="CD432" i="1"/>
  <c r="AS432" i="1"/>
  <c r="BZ431" i="1"/>
  <c r="A434" i="1"/>
  <c r="C433" i="1"/>
  <c r="CG431" i="1" l="1"/>
  <c r="AN434" i="1"/>
  <c r="AO434" i="1" s="1"/>
  <c r="BY433" i="1"/>
  <c r="BZ433" i="1" s="1"/>
  <c r="CD433" i="1"/>
  <c r="AS433" i="1"/>
  <c r="CC433" i="1"/>
  <c r="AR433" i="1"/>
  <c r="AO433" i="1"/>
  <c r="AW432" i="1"/>
  <c r="AV432" i="1"/>
  <c r="AT432" i="1"/>
  <c r="CH432" i="1"/>
  <c r="A435" i="1"/>
  <c r="C434" i="1"/>
  <c r="BZ432" i="1"/>
  <c r="CE432" i="1" l="1"/>
  <c r="AV433" i="1"/>
  <c r="AT433" i="1"/>
  <c r="AW433" i="1"/>
  <c r="A436" i="1"/>
  <c r="C435" i="1"/>
  <c r="CG432" i="1"/>
  <c r="BY434" i="1"/>
  <c r="BZ434" i="1" s="1"/>
  <c r="AN435" i="1"/>
  <c r="CD434" i="1"/>
  <c r="AR434" i="1"/>
  <c r="AS434" i="1"/>
  <c r="CC434" i="1"/>
  <c r="CH433" i="1"/>
  <c r="CE433" i="1" l="1"/>
  <c r="CH434" i="1"/>
  <c r="AO435" i="1"/>
  <c r="BY435" i="1"/>
  <c r="AN436" i="1"/>
  <c r="AO436" i="1" s="1"/>
  <c r="AS435" i="1"/>
  <c r="CD435" i="1"/>
  <c r="AR435" i="1"/>
  <c r="CC435" i="1"/>
  <c r="CG433" i="1"/>
  <c r="AW434" i="1"/>
  <c r="AV434" i="1"/>
  <c r="AT434" i="1"/>
  <c r="C436" i="1"/>
  <c r="A437" i="1"/>
  <c r="BZ435" i="1" l="1"/>
  <c r="BY436" i="1"/>
  <c r="BZ436" i="1" s="1"/>
  <c r="AN437" i="1"/>
  <c r="CC436" i="1"/>
  <c r="AR436" i="1"/>
  <c r="CD436" i="1"/>
  <c r="AS436" i="1"/>
  <c r="CH435" i="1"/>
  <c r="A438" i="1"/>
  <c r="C437" i="1"/>
  <c r="CE434" i="1"/>
  <c r="AW435" i="1"/>
  <c r="AV435" i="1"/>
  <c r="AT435" i="1"/>
  <c r="AU436" i="1"/>
  <c r="CG434" i="1"/>
  <c r="CE435" i="1" l="1"/>
  <c r="CG435" i="1"/>
  <c r="CF436" i="1"/>
  <c r="AV436" i="1"/>
  <c r="AW436" i="1"/>
  <c r="AT436" i="1"/>
  <c r="AN438" i="1"/>
  <c r="BY437" i="1"/>
  <c r="CE436" i="1" s="1"/>
  <c r="CD437" i="1"/>
  <c r="AS437" i="1"/>
  <c r="CC437" i="1"/>
  <c r="AR437" i="1"/>
  <c r="CH436" i="1"/>
  <c r="C438" i="1"/>
  <c r="A439" i="1"/>
  <c r="AO437" i="1"/>
  <c r="AU437" i="1"/>
  <c r="CG436" i="1" l="1"/>
  <c r="BY438" i="1"/>
  <c r="CE437" i="1" s="1"/>
  <c r="AN439" i="1"/>
  <c r="AR438" i="1"/>
  <c r="AS438" i="1"/>
  <c r="CC438" i="1"/>
  <c r="CD438" i="1"/>
  <c r="CH437" i="1"/>
  <c r="AO438" i="1"/>
  <c r="A440" i="1"/>
  <c r="C439" i="1"/>
  <c r="AT437" i="1"/>
  <c r="AW437" i="1"/>
  <c r="AV437" i="1"/>
  <c r="BZ437" i="1"/>
  <c r="CF437" i="1"/>
  <c r="CG437" i="1" l="1"/>
  <c r="CH438" i="1"/>
  <c r="C440" i="1"/>
  <c r="A441" i="1"/>
  <c r="AV438" i="1"/>
  <c r="AT438" i="1"/>
  <c r="AW438" i="1"/>
  <c r="AO439" i="1"/>
  <c r="BY439" i="1"/>
  <c r="CG438" i="1" s="1"/>
  <c r="AN440" i="1"/>
  <c r="CC439" i="1"/>
  <c r="AS439" i="1"/>
  <c r="CD439" i="1"/>
  <c r="AR439" i="1"/>
  <c r="BZ438" i="1"/>
  <c r="CE438" i="1" l="1"/>
  <c r="CH439" i="1"/>
  <c r="A442" i="1"/>
  <c r="C441" i="1"/>
  <c r="AW439" i="1"/>
  <c r="AV439" i="1"/>
  <c r="AT439" i="1"/>
  <c r="AO440" i="1"/>
  <c r="BY440" i="1"/>
  <c r="BZ440" i="1" s="1"/>
  <c r="AN441" i="1"/>
  <c r="AR440" i="1"/>
  <c r="CC440" i="1"/>
  <c r="AS440" i="1"/>
  <c r="CD440" i="1"/>
  <c r="BZ439" i="1"/>
  <c r="CG439" i="1" l="1"/>
  <c r="CH440" i="1"/>
  <c r="AO441" i="1"/>
  <c r="CE439" i="1"/>
  <c r="AT440" i="1"/>
  <c r="AW440" i="1"/>
  <c r="AV440" i="1"/>
  <c r="AN442" i="1"/>
  <c r="BY441" i="1"/>
  <c r="CG440" i="1" s="1"/>
  <c r="AS441" i="1"/>
  <c r="AR441" i="1"/>
  <c r="CC441" i="1"/>
  <c r="CD441" i="1"/>
  <c r="A443" i="1"/>
  <c r="C442" i="1"/>
  <c r="AO442" i="1" l="1"/>
  <c r="AN443" i="1"/>
  <c r="BY442" i="1"/>
  <c r="BZ442" i="1" s="1"/>
  <c r="CC442" i="1"/>
  <c r="AR442" i="1"/>
  <c r="CD442" i="1"/>
  <c r="AS442" i="1"/>
  <c r="AV441" i="1"/>
  <c r="AT441" i="1"/>
  <c r="AW441" i="1"/>
  <c r="C443" i="1"/>
  <c r="A444" i="1"/>
  <c r="CE440" i="1"/>
  <c r="BZ441" i="1"/>
  <c r="CG441" i="1"/>
  <c r="CH441" i="1"/>
  <c r="CE441" i="1"/>
  <c r="AU443" i="1" l="1"/>
  <c r="AO443" i="1"/>
  <c r="AW442" i="1"/>
  <c r="AV442" i="1"/>
  <c r="AT442" i="1"/>
  <c r="C444" i="1"/>
  <c r="A445" i="1"/>
  <c r="BY443" i="1"/>
  <c r="CG442" i="1" s="1"/>
  <c r="AN444" i="1"/>
  <c r="AS443" i="1"/>
  <c r="CD443" i="1"/>
  <c r="AR443" i="1"/>
  <c r="CC443" i="1"/>
  <c r="CH442" i="1"/>
  <c r="CE442" i="1" l="1"/>
  <c r="CH443" i="1"/>
  <c r="AO444" i="1"/>
  <c r="AU444" i="1"/>
  <c r="AW443" i="1"/>
  <c r="AT443" i="1"/>
  <c r="AV443" i="1"/>
  <c r="BZ443" i="1"/>
  <c r="CF443" i="1"/>
  <c r="C445" i="1"/>
  <c r="A446" i="1"/>
  <c r="BY444" i="1"/>
  <c r="CE443" i="1" s="1"/>
  <c r="AN445" i="1"/>
  <c r="AS444" i="1"/>
  <c r="CD444" i="1"/>
  <c r="CC444" i="1"/>
  <c r="AR444" i="1"/>
  <c r="C446" i="1" l="1"/>
  <c r="A447" i="1"/>
  <c r="AN446" i="1"/>
  <c r="AO446" i="1" s="1"/>
  <c r="BY445" i="1"/>
  <c r="CG444" i="1" s="1"/>
  <c r="AR445" i="1"/>
  <c r="CC445" i="1"/>
  <c r="AS445" i="1"/>
  <c r="CD445" i="1"/>
  <c r="CH444" i="1"/>
  <c r="BZ444" i="1"/>
  <c r="CF444" i="1"/>
  <c r="CG443" i="1"/>
  <c r="AV444" i="1"/>
  <c r="AT444" i="1"/>
  <c r="AW444" i="1"/>
  <c r="AO445" i="1"/>
  <c r="CE444" i="1" l="1"/>
  <c r="CH445" i="1"/>
  <c r="C447" i="1"/>
  <c r="A448" i="1"/>
  <c r="AW445" i="1"/>
  <c r="AT445" i="1"/>
  <c r="AV445" i="1"/>
  <c r="AN447" i="1"/>
  <c r="BY446" i="1"/>
  <c r="CC446" i="1"/>
  <c r="CD446" i="1"/>
  <c r="AR446" i="1"/>
  <c r="AS446" i="1"/>
  <c r="BZ445" i="1"/>
  <c r="BY447" i="1" l="1"/>
  <c r="BZ447" i="1" s="1"/>
  <c r="AN448" i="1"/>
  <c r="AO448" i="1" s="1"/>
  <c r="CC447" i="1"/>
  <c r="CD447" i="1"/>
  <c r="AR447" i="1"/>
  <c r="AS447" i="1"/>
  <c r="BZ446" i="1"/>
  <c r="CG445" i="1"/>
  <c r="CE446" i="1"/>
  <c r="CH446" i="1"/>
  <c r="AW446" i="1"/>
  <c r="AT446" i="1"/>
  <c r="AV446" i="1"/>
  <c r="AO447" i="1"/>
  <c r="A449" i="1"/>
  <c r="C448" i="1"/>
  <c r="CE445" i="1"/>
  <c r="BY448" i="1" l="1"/>
  <c r="BZ448" i="1" s="1"/>
  <c r="AN449" i="1"/>
  <c r="AR448" i="1"/>
  <c r="CC448" i="1"/>
  <c r="AS448" i="1"/>
  <c r="CD448" i="1"/>
  <c r="CG446" i="1"/>
  <c r="CH447" i="1"/>
  <c r="CE447" i="1"/>
  <c r="C449" i="1"/>
  <c r="A450" i="1"/>
  <c r="AV447" i="1"/>
  <c r="AW447" i="1"/>
  <c r="AT447" i="1"/>
  <c r="AW448" i="1" l="1"/>
  <c r="AT448" i="1"/>
  <c r="AV448" i="1"/>
  <c r="C450" i="1"/>
  <c r="A451" i="1"/>
  <c r="CG447" i="1"/>
  <c r="CH448" i="1"/>
  <c r="AO449" i="1"/>
  <c r="AU449" i="1"/>
  <c r="AN450" i="1"/>
  <c r="BY449" i="1"/>
  <c r="CG448" i="1" s="1"/>
  <c r="AR449" i="1"/>
  <c r="CC449" i="1"/>
  <c r="AS449" i="1"/>
  <c r="CD449" i="1"/>
  <c r="CE448" i="1" l="1"/>
  <c r="C451" i="1"/>
  <c r="A452" i="1"/>
  <c r="CH449" i="1"/>
  <c r="BY450" i="1"/>
  <c r="CE449" i="1" s="1"/>
  <c r="AN451" i="1"/>
  <c r="AO451" i="1" s="1"/>
  <c r="AR450" i="1"/>
  <c r="CC450" i="1"/>
  <c r="AS450" i="1"/>
  <c r="CD450" i="1"/>
  <c r="AV449" i="1"/>
  <c r="AT449" i="1"/>
  <c r="AW449" i="1"/>
  <c r="BZ449" i="1"/>
  <c r="CF449" i="1"/>
  <c r="AO450" i="1"/>
  <c r="CG449" i="1" l="1"/>
  <c r="BZ450" i="1"/>
  <c r="C452" i="1"/>
  <c r="A453" i="1"/>
  <c r="CH450" i="1"/>
  <c r="AN452" i="1"/>
  <c r="BY451" i="1"/>
  <c r="CG450" i="1" s="1"/>
  <c r="AR451" i="1"/>
  <c r="CC451" i="1"/>
  <c r="AS451" i="1"/>
  <c r="CD451" i="1"/>
  <c r="AV450" i="1"/>
  <c r="AW450" i="1"/>
  <c r="AT450" i="1"/>
  <c r="AU451" i="1"/>
  <c r="AO452" i="1" l="1"/>
  <c r="C453" i="1"/>
  <c r="A454" i="1"/>
  <c r="CH451" i="1"/>
  <c r="BY452" i="1"/>
  <c r="CE451" i="1" s="1"/>
  <c r="AN453" i="1"/>
  <c r="CC452" i="1"/>
  <c r="CD452" i="1"/>
  <c r="AR452" i="1"/>
  <c r="AS452" i="1"/>
  <c r="BZ451" i="1"/>
  <c r="CF451" i="1"/>
  <c r="CE450" i="1"/>
  <c r="AV451" i="1"/>
  <c r="AW451" i="1"/>
  <c r="AT451" i="1"/>
  <c r="CG451" i="1" l="1"/>
  <c r="AO453" i="1"/>
  <c r="AV452" i="1"/>
  <c r="AT452" i="1"/>
  <c r="AW452" i="1"/>
  <c r="BZ452" i="1"/>
  <c r="C454" i="1"/>
  <c r="A455" i="1"/>
  <c r="AN454" i="1"/>
  <c r="AO454" i="1" s="1"/>
  <c r="BY453" i="1"/>
  <c r="BZ453" i="1" s="1"/>
  <c r="AR453" i="1"/>
  <c r="CD453" i="1"/>
  <c r="AS453" i="1"/>
  <c r="CC453" i="1"/>
  <c r="CH452" i="1"/>
  <c r="CG452" i="1" l="1"/>
  <c r="CH453" i="1"/>
  <c r="CE452" i="1"/>
  <c r="C455" i="1"/>
  <c r="A456" i="1"/>
  <c r="AV453" i="1"/>
  <c r="AT453" i="1"/>
  <c r="AW453" i="1"/>
  <c r="BY454" i="1"/>
  <c r="BZ454" i="1" s="1"/>
  <c r="AN455" i="1"/>
  <c r="AS454" i="1"/>
  <c r="CC454" i="1"/>
  <c r="CD454" i="1"/>
  <c r="AR454" i="1"/>
  <c r="BY455" i="1" l="1"/>
  <c r="BZ455" i="1" s="1"/>
  <c r="AN456" i="1"/>
  <c r="AR455" i="1"/>
  <c r="CD455" i="1"/>
  <c r="AS455" i="1"/>
  <c r="CC455" i="1"/>
  <c r="AW454" i="1"/>
  <c r="AV454" i="1"/>
  <c r="AT454" i="1"/>
  <c r="AO455" i="1"/>
  <c r="CH454" i="1"/>
  <c r="C456" i="1"/>
  <c r="A457" i="1"/>
  <c r="CE453" i="1"/>
  <c r="CG453" i="1"/>
  <c r="CG454" i="1" l="1"/>
  <c r="C457" i="1"/>
  <c r="A458" i="1"/>
  <c r="BY456" i="1"/>
  <c r="CG455" i="1" s="1"/>
  <c r="AN457" i="1"/>
  <c r="AS456" i="1"/>
  <c r="CC456" i="1"/>
  <c r="CD456" i="1"/>
  <c r="AR456" i="1"/>
  <c r="AW455" i="1"/>
  <c r="AV455" i="1"/>
  <c r="AT455" i="1"/>
  <c r="CE454" i="1"/>
  <c r="CH455" i="1"/>
  <c r="AO456" i="1"/>
  <c r="AU456" i="1"/>
  <c r="CE455" i="1" l="1"/>
  <c r="AT456" i="1"/>
  <c r="AW456" i="1"/>
  <c r="AV456" i="1"/>
  <c r="AO457" i="1"/>
  <c r="BZ456" i="1"/>
  <c r="CF456" i="1"/>
  <c r="CH456" i="1"/>
  <c r="C458" i="1"/>
  <c r="A459" i="1"/>
  <c r="AN458" i="1"/>
  <c r="AO458" i="1" s="1"/>
  <c r="BY457" i="1"/>
  <c r="CE456" i="1" s="1"/>
  <c r="AR457" i="1"/>
  <c r="AS457" i="1"/>
  <c r="CD457" i="1"/>
  <c r="CC457" i="1"/>
  <c r="AV457" i="1" l="1"/>
  <c r="AT457" i="1"/>
  <c r="AW457" i="1"/>
  <c r="CH457" i="1"/>
  <c r="BZ457" i="1"/>
  <c r="C459" i="1"/>
  <c r="A460" i="1"/>
  <c r="CG456" i="1"/>
  <c r="AU458" i="1"/>
  <c r="BY458" i="1"/>
  <c r="CG457" i="1" s="1"/>
  <c r="AN459" i="1"/>
  <c r="AS458" i="1"/>
  <c r="CC458" i="1"/>
  <c r="CD458" i="1"/>
  <c r="AR458" i="1"/>
  <c r="CH458" i="1" l="1"/>
  <c r="AT458" i="1"/>
  <c r="AW458" i="1"/>
  <c r="AV458" i="1"/>
  <c r="AO459" i="1"/>
  <c r="C460" i="1"/>
  <c r="A461" i="1"/>
  <c r="BZ458" i="1"/>
  <c r="CF458" i="1"/>
  <c r="BY459" i="1"/>
  <c r="AN460" i="1"/>
  <c r="AS459" i="1"/>
  <c r="CD459" i="1"/>
  <c r="CC459" i="1"/>
  <c r="AR459" i="1"/>
  <c r="CE457" i="1"/>
  <c r="AV459" i="1" l="1"/>
  <c r="AT459" i="1"/>
  <c r="AW459" i="1"/>
  <c r="AO460" i="1"/>
  <c r="C461" i="1"/>
  <c r="A462" i="1"/>
  <c r="CH459" i="1"/>
  <c r="BZ459" i="1"/>
  <c r="BY460" i="1"/>
  <c r="BZ460" i="1" s="1"/>
  <c r="AN461" i="1"/>
  <c r="AO461" i="1" s="1"/>
  <c r="CC460" i="1"/>
  <c r="AR460" i="1"/>
  <c r="CD460" i="1"/>
  <c r="AS460" i="1"/>
  <c r="CE458" i="1"/>
  <c r="CG458" i="1"/>
  <c r="CG459" i="1" l="1"/>
  <c r="AN462" i="1"/>
  <c r="BY461" i="1"/>
  <c r="BZ461" i="1" s="1"/>
  <c r="CD461" i="1"/>
  <c r="AS461" i="1"/>
  <c r="CC461" i="1"/>
  <c r="AR461" i="1"/>
  <c r="AT460" i="1"/>
  <c r="AW460" i="1"/>
  <c r="AV460" i="1"/>
  <c r="CE459" i="1"/>
  <c r="CH460" i="1"/>
  <c r="C462" i="1"/>
  <c r="A463" i="1"/>
  <c r="CG460" i="1" l="1"/>
  <c r="CE460" i="1"/>
  <c r="C463" i="1"/>
  <c r="A464" i="1"/>
  <c r="BY462" i="1"/>
  <c r="CG461" i="1" s="1"/>
  <c r="AN463" i="1"/>
  <c r="AO463" i="1" s="1"/>
  <c r="CC462" i="1"/>
  <c r="CD462" i="1"/>
  <c r="AR462" i="1"/>
  <c r="AS462" i="1"/>
  <c r="AT461" i="1"/>
  <c r="AW461" i="1"/>
  <c r="AV461" i="1"/>
  <c r="CH461" i="1"/>
  <c r="AO462" i="1"/>
  <c r="AU463" i="1" l="1"/>
  <c r="BZ462" i="1"/>
  <c r="AV462" i="1"/>
  <c r="AW462" i="1"/>
  <c r="AT462" i="1"/>
  <c r="CE461" i="1"/>
  <c r="C464" i="1"/>
  <c r="A465" i="1"/>
  <c r="CH462" i="1"/>
  <c r="AN464" i="1"/>
  <c r="BY463" i="1"/>
  <c r="CG462" i="1" s="1"/>
  <c r="AR463" i="1"/>
  <c r="CD463" i="1"/>
  <c r="AS463" i="1"/>
  <c r="CC463" i="1"/>
  <c r="AN465" i="1" l="1"/>
  <c r="BY464" i="1"/>
  <c r="CE463" i="1" s="1"/>
  <c r="CD464" i="1"/>
  <c r="AR464" i="1"/>
  <c r="AS464" i="1"/>
  <c r="CC464" i="1"/>
  <c r="CH463" i="1"/>
  <c r="AO464" i="1"/>
  <c r="C465" i="1"/>
  <c r="A466" i="1"/>
  <c r="AT463" i="1"/>
  <c r="AW463" i="1"/>
  <c r="AV463" i="1"/>
  <c r="BZ463" i="1"/>
  <c r="CF463" i="1"/>
  <c r="CE462" i="1"/>
  <c r="AN466" i="1" l="1"/>
  <c r="AO466" i="1" s="1"/>
  <c r="BY465" i="1"/>
  <c r="CG464" i="1" s="1"/>
  <c r="AS465" i="1"/>
  <c r="CD465" i="1"/>
  <c r="AR465" i="1"/>
  <c r="CC465" i="1"/>
  <c r="BZ464" i="1"/>
  <c r="CH464" i="1"/>
  <c r="C466" i="1"/>
  <c r="A467" i="1"/>
  <c r="CG463" i="1"/>
  <c r="AO465" i="1"/>
  <c r="AU465" i="1"/>
  <c r="AW464" i="1"/>
  <c r="AV464" i="1"/>
  <c r="AT464" i="1"/>
  <c r="CE464" i="1" l="1"/>
  <c r="CH465" i="1"/>
  <c r="BZ465" i="1"/>
  <c r="CF465" i="1"/>
  <c r="C467" i="1"/>
  <c r="A468" i="1"/>
  <c r="AV465" i="1"/>
  <c r="AT465" i="1"/>
  <c r="AW465" i="1"/>
  <c r="AN467" i="1"/>
  <c r="AO467" i="1" s="1"/>
  <c r="BY466" i="1"/>
  <c r="BZ466" i="1" s="1"/>
  <c r="CD466" i="1"/>
  <c r="AR466" i="1"/>
  <c r="AS466" i="1"/>
  <c r="CC466" i="1"/>
  <c r="CE465" i="1" l="1"/>
  <c r="CG465" i="1"/>
  <c r="CH466" i="1"/>
  <c r="C468" i="1"/>
  <c r="A469" i="1"/>
  <c r="AV466" i="1"/>
  <c r="AT466" i="1"/>
  <c r="AW466" i="1"/>
  <c r="AN468" i="1"/>
  <c r="AO468" i="1" s="1"/>
  <c r="BY467" i="1"/>
  <c r="CE466" i="1" s="1"/>
  <c r="CD467" i="1"/>
  <c r="AS467" i="1"/>
  <c r="CC467" i="1"/>
  <c r="AR467" i="1"/>
  <c r="AV467" i="1" l="1"/>
  <c r="AT467" i="1"/>
  <c r="AW467" i="1"/>
  <c r="CH467" i="1"/>
  <c r="C469" i="1"/>
  <c r="A470" i="1"/>
  <c r="CG466" i="1"/>
  <c r="AN469" i="1"/>
  <c r="AO469" i="1" s="1"/>
  <c r="BY468" i="1"/>
  <c r="BZ468" i="1" s="1"/>
  <c r="CC468" i="1"/>
  <c r="CD468" i="1"/>
  <c r="AR468" i="1"/>
  <c r="AS468" i="1"/>
  <c r="BZ467" i="1"/>
  <c r="CE467" i="1" l="1"/>
  <c r="CH468" i="1"/>
  <c r="C470" i="1"/>
  <c r="A471" i="1"/>
  <c r="CG467" i="1"/>
  <c r="AN470" i="1"/>
  <c r="BY469" i="1"/>
  <c r="BZ469" i="1" s="1"/>
  <c r="AR469" i="1"/>
  <c r="AS469" i="1"/>
  <c r="CD469" i="1"/>
  <c r="CC469" i="1"/>
  <c r="AV468" i="1"/>
  <c r="AT468" i="1"/>
  <c r="AW468" i="1"/>
  <c r="CG468" i="1" l="1"/>
  <c r="CH469" i="1"/>
  <c r="AO470" i="1"/>
  <c r="AU470" i="1"/>
  <c r="CE468" i="1"/>
  <c r="AV469" i="1"/>
  <c r="AT469" i="1"/>
  <c r="AW469" i="1"/>
  <c r="C471" i="1"/>
  <c r="A472" i="1"/>
  <c r="BY470" i="1"/>
  <c r="CE469" i="1" s="1"/>
  <c r="AN471" i="1"/>
  <c r="AO471" i="1" s="1"/>
  <c r="AR470" i="1"/>
  <c r="CC470" i="1"/>
  <c r="CD470" i="1"/>
  <c r="AS470" i="1"/>
  <c r="C472" i="1" l="1"/>
  <c r="A473" i="1"/>
  <c r="AV470" i="1"/>
  <c r="AT470" i="1"/>
  <c r="AW470" i="1"/>
  <c r="BZ470" i="1"/>
  <c r="CF470" i="1"/>
  <c r="CH470" i="1"/>
  <c r="BY471" i="1"/>
  <c r="BZ471" i="1" s="1"/>
  <c r="AN472" i="1"/>
  <c r="AO472" i="1" s="1"/>
  <c r="CC471" i="1"/>
  <c r="AR471" i="1"/>
  <c r="CD471" i="1"/>
  <c r="AS471" i="1"/>
  <c r="CG469" i="1"/>
  <c r="AW471" i="1" l="1"/>
  <c r="AV471" i="1"/>
  <c r="AT471" i="1"/>
  <c r="CE470" i="1"/>
  <c r="C473" i="1"/>
  <c r="A474" i="1"/>
  <c r="CH471" i="1"/>
  <c r="CG470" i="1"/>
  <c r="BY472" i="1"/>
  <c r="BZ472" i="1" s="1"/>
  <c r="AN473" i="1"/>
  <c r="AO473" i="1" s="1"/>
  <c r="CD472" i="1"/>
  <c r="AR472" i="1"/>
  <c r="CC472" i="1"/>
  <c r="AS472" i="1"/>
  <c r="CH472" i="1" l="1"/>
  <c r="CE471" i="1"/>
  <c r="CG471" i="1"/>
  <c r="AT472" i="1"/>
  <c r="AW472" i="1"/>
  <c r="AV472" i="1"/>
  <c r="C474" i="1"/>
  <c r="A475" i="1"/>
  <c r="AN474" i="1"/>
  <c r="AO474" i="1" s="1"/>
  <c r="BY473" i="1"/>
  <c r="BZ473" i="1" s="1"/>
  <c r="CD473" i="1"/>
  <c r="AR473" i="1"/>
  <c r="CC473" i="1"/>
  <c r="AS473" i="1"/>
  <c r="CH473" i="1" l="1"/>
  <c r="AT473" i="1"/>
  <c r="AW473" i="1"/>
  <c r="AV473" i="1"/>
  <c r="C475" i="1"/>
  <c r="A476" i="1"/>
  <c r="CG472" i="1"/>
  <c r="BY474" i="1"/>
  <c r="BZ474" i="1" s="1"/>
  <c r="AN475" i="1"/>
  <c r="AO475" i="1" s="1"/>
  <c r="CC474" i="1"/>
  <c r="AS474" i="1"/>
  <c r="CD474" i="1"/>
  <c r="AR474" i="1"/>
  <c r="CE472" i="1"/>
  <c r="CH474" i="1" l="1"/>
  <c r="CE474" i="1"/>
  <c r="C476" i="1"/>
  <c r="A477" i="1"/>
  <c r="BY475" i="1"/>
  <c r="BZ475" i="1" s="1"/>
  <c r="AN476" i="1"/>
  <c r="AO476" i="1" s="1"/>
  <c r="CD475" i="1"/>
  <c r="AR475" i="1"/>
  <c r="CC475" i="1"/>
  <c r="AS475" i="1"/>
  <c r="CG473" i="1"/>
  <c r="CE473" i="1"/>
  <c r="AT474" i="1"/>
  <c r="AW474" i="1"/>
  <c r="AV474" i="1"/>
  <c r="CG474" i="1" l="1"/>
  <c r="AW475" i="1"/>
  <c r="AV475" i="1"/>
  <c r="AT475" i="1"/>
  <c r="BY476" i="1"/>
  <c r="BZ476" i="1" s="1"/>
  <c r="AN477" i="1"/>
  <c r="AO477" i="1" s="1"/>
  <c r="CC476" i="1"/>
  <c r="AS476" i="1"/>
  <c r="CD476" i="1"/>
  <c r="AR476" i="1"/>
  <c r="CH475" i="1"/>
  <c r="C477" i="1"/>
  <c r="A478" i="1"/>
  <c r="CG475" i="1" l="1"/>
  <c r="CE475" i="1"/>
  <c r="CH476" i="1"/>
  <c r="AT476" i="1"/>
  <c r="AW476" i="1"/>
  <c r="AV476" i="1"/>
  <c r="C478" i="1"/>
  <c r="A479" i="1"/>
  <c r="AN478" i="1"/>
  <c r="AO478" i="1" s="1"/>
  <c r="BY477" i="1"/>
  <c r="BZ477" i="1" s="1"/>
  <c r="AR477" i="1"/>
  <c r="AS477" i="1"/>
  <c r="CD477" i="1"/>
  <c r="CC477" i="1"/>
  <c r="C479" i="1" l="1"/>
  <c r="A480" i="1"/>
  <c r="AT477" i="1"/>
  <c r="AW477" i="1"/>
  <c r="AV477" i="1"/>
  <c r="CG476" i="1"/>
  <c r="BY478" i="1"/>
  <c r="BZ478" i="1" s="1"/>
  <c r="AN479" i="1"/>
  <c r="AO479" i="1" s="1"/>
  <c r="AS478" i="1"/>
  <c r="CC478" i="1"/>
  <c r="AR478" i="1"/>
  <c r="CD478" i="1"/>
  <c r="CH477" i="1"/>
  <c r="CE476" i="1"/>
  <c r="CG477" i="1" l="1"/>
  <c r="AT478" i="1"/>
  <c r="AW478" i="1"/>
  <c r="AV478" i="1"/>
  <c r="CE477" i="1"/>
  <c r="CH478" i="1"/>
  <c r="A481" i="1"/>
  <c r="C480" i="1"/>
  <c r="BY479" i="1"/>
  <c r="BZ479" i="1" s="1"/>
  <c r="AN480" i="1"/>
  <c r="CD479" i="1"/>
  <c r="CC479" i="1"/>
  <c r="AR479" i="1"/>
  <c r="AS479" i="1"/>
  <c r="CG478" i="1" l="1"/>
  <c r="CE478" i="1"/>
  <c r="BY480" i="1"/>
  <c r="CG479" i="1" s="1"/>
  <c r="AN481" i="1"/>
  <c r="AO481" i="1" s="1"/>
  <c r="CD480" i="1"/>
  <c r="AS480" i="1"/>
  <c r="AR480" i="1"/>
  <c r="CC480" i="1"/>
  <c r="C481" i="1"/>
  <c r="A482" i="1"/>
  <c r="AO480" i="1"/>
  <c r="AW479" i="1"/>
  <c r="AV479" i="1"/>
  <c r="AT479" i="1"/>
  <c r="CE479" i="1"/>
  <c r="CH479" i="1"/>
  <c r="AT480" i="1" l="1"/>
  <c r="AW480" i="1"/>
  <c r="AV480" i="1"/>
  <c r="C482" i="1"/>
  <c r="A483" i="1"/>
  <c r="AN482" i="1"/>
  <c r="BY481" i="1"/>
  <c r="BZ481" i="1" s="1"/>
  <c r="AR481" i="1"/>
  <c r="CD481" i="1"/>
  <c r="AS481" i="1"/>
  <c r="CC481" i="1"/>
  <c r="CH480" i="1"/>
  <c r="BZ480" i="1"/>
  <c r="CG480" i="1" l="1"/>
  <c r="C483" i="1"/>
  <c r="AN484" i="1" s="1"/>
  <c r="AO484" i="1" s="1"/>
  <c r="A484" i="1"/>
  <c r="CE480" i="1"/>
  <c r="AT481" i="1"/>
  <c r="AW481" i="1"/>
  <c r="AV481" i="1"/>
  <c r="BY482" i="1"/>
  <c r="BZ482" i="1" s="1"/>
  <c r="AN483" i="1"/>
  <c r="AO483" i="1" s="1"/>
  <c r="AR482" i="1"/>
  <c r="CC482" i="1"/>
  <c r="AS482" i="1"/>
  <c r="CD482" i="1"/>
  <c r="CH481" i="1"/>
  <c r="AO482" i="1"/>
  <c r="CG481" i="1" l="1"/>
  <c r="CE481" i="1"/>
  <c r="CH482" i="1"/>
  <c r="AT482" i="1"/>
  <c r="AW482" i="1"/>
  <c r="AV482" i="1"/>
  <c r="C484" i="1"/>
  <c r="A485" i="1"/>
  <c r="BY483" i="1"/>
  <c r="BZ483" i="1" s="1"/>
  <c r="AS483" i="1"/>
  <c r="CD483" i="1"/>
  <c r="CC483" i="1"/>
  <c r="AR483" i="1"/>
  <c r="AN485" i="1" l="1"/>
  <c r="AO485" i="1" s="1"/>
  <c r="BY484" i="1"/>
  <c r="BZ484" i="1" s="1"/>
  <c r="AS484" i="1"/>
  <c r="AR484" i="1"/>
  <c r="CD484" i="1"/>
  <c r="CC484" i="1"/>
  <c r="CE482" i="1"/>
  <c r="CG482" i="1"/>
  <c r="CH483" i="1"/>
  <c r="C485" i="1"/>
  <c r="A486" i="1"/>
  <c r="AW483" i="1"/>
  <c r="AV483" i="1"/>
  <c r="AT483" i="1"/>
  <c r="CG483" i="1" l="1"/>
  <c r="CE483" i="1"/>
  <c r="AN486" i="1"/>
  <c r="AO486" i="1" s="1"/>
  <c r="BY485" i="1"/>
  <c r="BZ485" i="1" s="1"/>
  <c r="AR485" i="1"/>
  <c r="AS485" i="1"/>
  <c r="CC485" i="1"/>
  <c r="CD485" i="1"/>
  <c r="AW484" i="1"/>
  <c r="AV484" i="1"/>
  <c r="AT484" i="1"/>
  <c r="CH484" i="1"/>
  <c r="C486" i="1"/>
  <c r="A487" i="1"/>
  <c r="CG484" i="1" l="1"/>
  <c r="CE484" i="1"/>
  <c r="AW485" i="1"/>
  <c r="AT485" i="1"/>
  <c r="AV485" i="1"/>
  <c r="AN487" i="1"/>
  <c r="BY486" i="1"/>
  <c r="BZ486" i="1" s="1"/>
  <c r="AR486" i="1"/>
  <c r="AS486" i="1"/>
  <c r="CC486" i="1"/>
  <c r="CD486" i="1"/>
  <c r="CH485" i="1"/>
  <c r="AU486" i="1"/>
  <c r="C487" i="1"/>
  <c r="A488" i="1"/>
  <c r="CE485" i="1" l="1"/>
  <c r="CF486" i="1"/>
  <c r="AW486" i="1"/>
  <c r="AT486" i="1"/>
  <c r="AV486" i="1"/>
  <c r="AO487" i="1"/>
  <c r="BY487" i="1"/>
  <c r="CE486" i="1" s="1"/>
  <c r="AN488" i="1"/>
  <c r="AR487" i="1"/>
  <c r="AS487" i="1"/>
  <c r="CD487" i="1"/>
  <c r="CC487" i="1"/>
  <c r="CG485" i="1"/>
  <c r="CH486" i="1"/>
  <c r="CG486" i="1"/>
  <c r="C488" i="1"/>
  <c r="A489" i="1"/>
  <c r="BY488" i="1" l="1"/>
  <c r="AN489" i="1"/>
  <c r="AS488" i="1"/>
  <c r="AR488" i="1"/>
  <c r="CC488" i="1"/>
  <c r="CD488" i="1"/>
  <c r="AV487" i="1"/>
  <c r="AT487" i="1"/>
  <c r="AW487" i="1"/>
  <c r="CE487" i="1"/>
  <c r="CH487" i="1"/>
  <c r="AO488" i="1"/>
  <c r="BZ487" i="1"/>
  <c r="C489" i="1"/>
  <c r="A490" i="1"/>
  <c r="CG487" i="1" l="1"/>
  <c r="AT488" i="1"/>
  <c r="AW488" i="1"/>
  <c r="AV488" i="1"/>
  <c r="C490" i="1"/>
  <c r="A491" i="1"/>
  <c r="AO489" i="1"/>
  <c r="BY489" i="1"/>
  <c r="CG488" i="1" s="1"/>
  <c r="AN490" i="1"/>
  <c r="AT489" i="1" s="1"/>
  <c r="CH488" i="1"/>
  <c r="BZ488" i="1"/>
  <c r="CE488" i="1" l="1"/>
  <c r="AV489" i="1"/>
  <c r="AO490" i="1"/>
  <c r="A492" i="1"/>
  <c r="C491" i="1"/>
  <c r="BZ489" i="1"/>
  <c r="AN491" i="1"/>
  <c r="AO491" i="1" s="1"/>
  <c r="BY490" i="1"/>
  <c r="CG489" i="1" s="1"/>
  <c r="CD490" i="1"/>
  <c r="AR490" i="1"/>
  <c r="AS490" i="1"/>
  <c r="CC490" i="1"/>
  <c r="AV490" i="1" l="1"/>
  <c r="AT490" i="1"/>
  <c r="AW490" i="1"/>
  <c r="C492" i="1"/>
  <c r="A493" i="1"/>
  <c r="A494" i="1" s="1"/>
  <c r="C494" i="1" s="1"/>
  <c r="CH490" i="1"/>
  <c r="BZ490" i="1"/>
  <c r="CE489" i="1"/>
  <c r="AN492" i="1"/>
  <c r="BY491" i="1"/>
  <c r="CC491" i="1"/>
  <c r="AR491" i="1"/>
  <c r="CD491" i="1"/>
  <c r="AS491" i="1"/>
  <c r="AO492" i="1" l="1"/>
  <c r="BY494" i="1"/>
  <c r="AS494" i="1"/>
  <c r="AR494" i="1"/>
  <c r="BZ491" i="1"/>
  <c r="AV491" i="1"/>
  <c r="AT491" i="1"/>
  <c r="AW491" i="1"/>
  <c r="AN493" i="1"/>
  <c r="BY492" i="1"/>
  <c r="CG491" i="1" s="1"/>
  <c r="CD492" i="1"/>
  <c r="AS492" i="1"/>
  <c r="CC492" i="1"/>
  <c r="AR492" i="1"/>
  <c r="CH491" i="1"/>
  <c r="CG490" i="1"/>
  <c r="CE490" i="1"/>
  <c r="C493" i="1"/>
  <c r="AN494" i="1" s="1"/>
  <c r="AO494" i="1" l="1"/>
  <c r="AU494" i="1"/>
  <c r="BZ492" i="1"/>
  <c r="BZ494" i="1"/>
  <c r="AU493" i="1"/>
  <c r="AW494" i="1"/>
  <c r="BY493" i="1"/>
  <c r="CG492" i="1" s="1"/>
  <c r="CC493" i="1"/>
  <c r="CD493" i="1"/>
  <c r="AR493" i="1"/>
  <c r="AS493" i="1"/>
  <c r="AT492" i="1"/>
  <c r="AW492" i="1"/>
  <c r="AV492" i="1"/>
  <c r="A495" i="1"/>
  <c r="CH492" i="1"/>
  <c r="AO493" i="1"/>
  <c r="CE491" i="1"/>
  <c r="CF494" i="1" l="1"/>
  <c r="CE492" i="1"/>
  <c r="CH493" i="1"/>
  <c r="A496" i="1"/>
  <c r="C495" i="1"/>
  <c r="AN495" i="1"/>
  <c r="BZ493" i="1"/>
  <c r="CF493" i="1"/>
  <c r="AT493" i="1"/>
  <c r="AW493" i="1"/>
  <c r="AV493" i="1"/>
  <c r="AV494" i="1" l="1"/>
  <c r="AT494" i="1"/>
  <c r="AO495" i="1"/>
  <c r="C496" i="1"/>
  <c r="A497" i="1"/>
  <c r="A498" i="1" s="1"/>
  <c r="C498" i="1" s="1"/>
  <c r="CE493" i="1"/>
  <c r="AN496" i="1"/>
  <c r="AO496" i="1" s="1"/>
  <c r="BY495" i="1"/>
  <c r="AR495" i="1"/>
  <c r="AS495" i="1"/>
  <c r="CC495" i="1"/>
  <c r="CD495" i="1"/>
  <c r="CG493" i="1"/>
  <c r="AT495" i="1" l="1"/>
  <c r="AV495" i="1"/>
  <c r="BZ495" i="1"/>
  <c r="CE494" i="1"/>
  <c r="CG494" i="1"/>
  <c r="BY498" i="1"/>
  <c r="BZ498" i="1" s="1"/>
  <c r="AR498" i="1"/>
  <c r="CD498" i="1"/>
  <c r="AS498" i="1"/>
  <c r="CC498" i="1"/>
  <c r="CH495" i="1"/>
  <c r="AN497" i="1"/>
  <c r="AO497" i="1" s="1"/>
  <c r="BY496" i="1"/>
  <c r="BZ496" i="1" s="1"/>
  <c r="CC496" i="1"/>
  <c r="CD496" i="1"/>
  <c r="AR496" i="1"/>
  <c r="AS496" i="1"/>
  <c r="AW495" i="1"/>
  <c r="C497" i="1"/>
  <c r="AN498" i="1" s="1"/>
  <c r="AO498" i="1" l="1"/>
  <c r="AU498" i="1"/>
  <c r="CE495" i="1"/>
  <c r="AV496" i="1"/>
  <c r="AT496" i="1"/>
  <c r="CG495" i="1"/>
  <c r="AW498" i="1"/>
  <c r="CH498" i="1"/>
  <c r="AW496" i="1"/>
  <c r="BY497" i="1"/>
  <c r="BZ497" i="1" s="1"/>
  <c r="CD497" i="1"/>
  <c r="AR497" i="1"/>
  <c r="AS497" i="1"/>
  <c r="CC497" i="1"/>
  <c r="A499" i="1"/>
  <c r="CH496" i="1"/>
  <c r="CE497" i="1" l="1"/>
  <c r="CG497" i="1"/>
  <c r="AV497" i="1"/>
  <c r="AT497" i="1"/>
  <c r="CG496" i="1"/>
  <c r="CF498" i="1"/>
  <c r="CE496" i="1"/>
  <c r="A500" i="1"/>
  <c r="C499" i="1"/>
  <c r="AW497" i="1"/>
  <c r="AN499" i="1"/>
  <c r="CH497" i="1"/>
  <c r="AV498" i="1" l="1"/>
  <c r="AT498" i="1"/>
  <c r="AO499" i="1"/>
  <c r="AN500" i="1"/>
  <c r="AO500" i="1" s="1"/>
  <c r="BY499" i="1"/>
  <c r="AS499" i="1"/>
  <c r="CD499" i="1"/>
  <c r="AR499" i="1"/>
  <c r="CC499" i="1"/>
  <c r="C500" i="1"/>
  <c r="A501" i="1"/>
  <c r="CE498" i="1" l="1"/>
  <c r="CG498" i="1"/>
  <c r="AV499" i="1"/>
  <c r="AT499" i="1"/>
  <c r="BZ499" i="1"/>
  <c r="CH499" i="1"/>
  <c r="A502" i="1"/>
  <c r="C501" i="1"/>
  <c r="BY500" i="1"/>
  <c r="BZ500" i="1" s="1"/>
  <c r="AN501" i="1"/>
  <c r="AR500" i="1"/>
  <c r="CD500" i="1"/>
  <c r="AS500" i="1"/>
  <c r="CC500" i="1"/>
  <c r="AW499" i="1"/>
  <c r="CG499" i="1" l="1"/>
  <c r="AV500" i="1"/>
  <c r="AT500" i="1"/>
  <c r="AO501" i="1"/>
  <c r="CE499" i="1"/>
  <c r="AW500" i="1"/>
  <c r="C502" i="1"/>
  <c r="A503" i="1"/>
  <c r="CH500" i="1"/>
  <c r="BY501" i="1"/>
  <c r="CG500" i="1" s="1"/>
  <c r="AN502" i="1"/>
  <c r="CC501" i="1"/>
  <c r="AS501" i="1"/>
  <c r="CD501" i="1"/>
  <c r="AR501" i="1"/>
  <c r="AT501" i="1" l="1"/>
  <c r="AV501" i="1"/>
  <c r="AO502" i="1"/>
  <c r="BZ501" i="1"/>
  <c r="CE500" i="1"/>
  <c r="CH501" i="1"/>
  <c r="BY502" i="1"/>
  <c r="CG501" i="1" s="1"/>
  <c r="AN503" i="1"/>
  <c r="AS502" i="1"/>
  <c r="CD502" i="1"/>
  <c r="AR502" i="1"/>
  <c r="CC502" i="1"/>
  <c r="AW501" i="1"/>
  <c r="C503" i="1"/>
  <c r="A504" i="1"/>
  <c r="AO503" i="1" l="1"/>
  <c r="AT502" i="1"/>
  <c r="AV502" i="1"/>
  <c r="BZ502" i="1"/>
  <c r="CE501" i="1"/>
  <c r="C504" i="1"/>
  <c r="AN505" i="1" s="1"/>
  <c r="A505" i="1"/>
  <c r="AW502" i="1"/>
  <c r="AN504" i="1"/>
  <c r="AO504" i="1" s="1"/>
  <c r="BY503" i="1"/>
  <c r="CE502" i="1" s="1"/>
  <c r="AS503" i="1"/>
  <c r="CC503" i="1"/>
  <c r="CD503" i="1"/>
  <c r="AR503" i="1"/>
  <c r="CH502" i="1"/>
  <c r="AV503" i="1" l="1"/>
  <c r="AT503" i="1"/>
  <c r="BZ503" i="1"/>
  <c r="AO505" i="1"/>
  <c r="CG502" i="1"/>
  <c r="AW503" i="1"/>
  <c r="A506" i="1"/>
  <c r="C505" i="1"/>
  <c r="AU505" i="1" s="1"/>
  <c r="CH503" i="1"/>
  <c r="BY504" i="1"/>
  <c r="BZ504" i="1" s="1"/>
  <c r="AS504" i="1"/>
  <c r="AR504" i="1"/>
  <c r="CD504" i="1"/>
  <c r="CC504" i="1"/>
  <c r="CG503" i="1" l="1"/>
  <c r="AV504" i="1"/>
  <c r="AT504" i="1"/>
  <c r="CE503" i="1"/>
  <c r="BY505" i="1"/>
  <c r="CE504" i="1" s="1"/>
  <c r="AN506" i="1"/>
  <c r="CD505" i="1"/>
  <c r="CC505" i="1"/>
  <c r="AR505" i="1"/>
  <c r="AS505" i="1"/>
  <c r="AW504" i="1"/>
  <c r="C506" i="1"/>
  <c r="A507" i="1"/>
  <c r="CH504" i="1"/>
  <c r="AO506" i="1" l="1"/>
  <c r="AT505" i="1"/>
  <c r="AV505" i="1"/>
  <c r="BZ505" i="1"/>
  <c r="CF505" i="1"/>
  <c r="CG504" i="1"/>
  <c r="CH505" i="1"/>
  <c r="BY506" i="1"/>
  <c r="CG505" i="1" s="1"/>
  <c r="AN507" i="1"/>
  <c r="AS506" i="1"/>
  <c r="CC506" i="1"/>
  <c r="CD506" i="1"/>
  <c r="AR506" i="1"/>
  <c r="AW505" i="1"/>
  <c r="A508" i="1"/>
  <c r="C507" i="1"/>
  <c r="AO507" i="1" l="1"/>
  <c r="AU507" i="1"/>
  <c r="CH506" i="1"/>
  <c r="AT506" i="1"/>
  <c r="AV506" i="1"/>
  <c r="BZ506" i="1"/>
  <c r="CE505" i="1"/>
  <c r="AS507" i="1"/>
  <c r="AR507" i="1"/>
  <c r="AW506" i="1"/>
  <c r="AN508" i="1"/>
  <c r="AO508" i="1" s="1"/>
  <c r="CC507" i="1"/>
  <c r="BY507" i="1"/>
  <c r="CF507" i="1" s="1"/>
  <c r="CD507" i="1"/>
  <c r="A509" i="1"/>
  <c r="C508" i="1"/>
  <c r="AV507" i="1" l="1"/>
  <c r="AT507" i="1"/>
  <c r="CG506" i="1"/>
  <c r="CE506" i="1"/>
  <c r="AW507" i="1"/>
  <c r="AS508" i="1"/>
  <c r="AR508" i="1"/>
  <c r="CH507" i="1"/>
  <c r="BZ507" i="1"/>
  <c r="CD508" i="1"/>
  <c r="AN509" i="1"/>
  <c r="AO509" i="1" s="1"/>
  <c r="CC508" i="1"/>
  <c r="BY508" i="1"/>
  <c r="BZ508" i="1" s="1"/>
  <c r="A510" i="1"/>
  <c r="C509" i="1"/>
  <c r="CG507" i="1" l="1"/>
  <c r="AV508" i="1"/>
  <c r="AT508" i="1"/>
  <c r="CE507" i="1"/>
  <c r="AR509" i="1"/>
  <c r="AS509" i="1"/>
  <c r="AW508" i="1"/>
  <c r="CD509" i="1"/>
  <c r="BY509" i="1"/>
  <c r="AN510" i="1"/>
  <c r="AO510" i="1" s="1"/>
  <c r="CC509" i="1"/>
  <c r="CH508" i="1"/>
  <c r="C510" i="1"/>
  <c r="A511" i="1"/>
  <c r="BZ509" i="1" l="1"/>
  <c r="AV509" i="1"/>
  <c r="AT509" i="1"/>
  <c r="CE508" i="1"/>
  <c r="CG508" i="1"/>
  <c r="AS510" i="1"/>
  <c r="AR510" i="1"/>
  <c r="AW509" i="1"/>
  <c r="CH509" i="1"/>
  <c r="AN511" i="1"/>
  <c r="AO511" i="1" s="1"/>
  <c r="CC510" i="1"/>
  <c r="BY510" i="1"/>
  <c r="BZ510" i="1" s="1"/>
  <c r="CD510" i="1"/>
  <c r="A512" i="1"/>
  <c r="C511" i="1"/>
  <c r="CG509" i="1" l="1"/>
  <c r="CE509" i="1"/>
  <c r="AV510" i="1"/>
  <c r="AT510" i="1"/>
  <c r="AS511" i="1"/>
  <c r="AR511" i="1"/>
  <c r="AW510" i="1"/>
  <c r="CC511" i="1"/>
  <c r="AN512" i="1"/>
  <c r="CD511" i="1"/>
  <c r="BY511" i="1"/>
  <c r="BZ511" i="1" s="1"/>
  <c r="CH510" i="1"/>
  <c r="C512" i="1"/>
  <c r="A513" i="1"/>
  <c r="AT511" i="1" l="1"/>
  <c r="AV511" i="1"/>
  <c r="CE510" i="1"/>
  <c r="AO512" i="1"/>
  <c r="AU512" i="1"/>
  <c r="CG510" i="1"/>
  <c r="AW511" i="1"/>
  <c r="AR512" i="1"/>
  <c r="AS512" i="1"/>
  <c r="CD512" i="1"/>
  <c r="AN513" i="1"/>
  <c r="AO513" i="1" s="1"/>
  <c r="CC512" i="1"/>
  <c r="BY512" i="1"/>
  <c r="CE511" i="1" s="1"/>
  <c r="CH511" i="1"/>
  <c r="A514" i="1"/>
  <c r="C513" i="1"/>
  <c r="AT512" i="1" l="1"/>
  <c r="AV512" i="1"/>
  <c r="BZ512" i="1"/>
  <c r="CF512" i="1"/>
  <c r="CG511" i="1"/>
  <c r="AW512" i="1"/>
  <c r="AR513" i="1"/>
  <c r="AS513" i="1"/>
  <c r="CH512" i="1"/>
  <c r="BY513" i="1"/>
  <c r="BZ513" i="1" s="1"/>
  <c r="CC513" i="1"/>
  <c r="CD513" i="1"/>
  <c r="AN514" i="1"/>
  <c r="AO514" i="1" s="1"/>
  <c r="C514" i="1"/>
  <c r="A515" i="1"/>
  <c r="CE512" i="1" l="1"/>
  <c r="AV513" i="1"/>
  <c r="AT513" i="1"/>
  <c r="CG512" i="1"/>
  <c r="AW513" i="1"/>
  <c r="AR514" i="1"/>
  <c r="AS514" i="1"/>
  <c r="AN515" i="1"/>
  <c r="CD514" i="1"/>
  <c r="BY514" i="1"/>
  <c r="BZ514" i="1" s="1"/>
  <c r="CC514" i="1"/>
  <c r="CH513" i="1"/>
  <c r="A516" i="1"/>
  <c r="C515" i="1"/>
  <c r="CG513" i="1" l="1"/>
  <c r="AV514" i="1"/>
  <c r="AT514" i="1"/>
  <c r="CE513" i="1"/>
  <c r="AO515" i="1"/>
  <c r="AR515" i="1"/>
  <c r="AS515" i="1"/>
  <c r="AW514" i="1"/>
  <c r="CH514" i="1"/>
  <c r="AN516" i="1"/>
  <c r="AO516" i="1" s="1"/>
  <c r="CC515" i="1"/>
  <c r="BY515" i="1"/>
  <c r="CD515" i="1"/>
  <c r="C516" i="1"/>
  <c r="A517" i="1"/>
  <c r="BZ515" i="1" l="1"/>
  <c r="AV515" i="1"/>
  <c r="AT515" i="1"/>
  <c r="CG514" i="1"/>
  <c r="CE514" i="1"/>
  <c r="AS516" i="1"/>
  <c r="AR516" i="1"/>
  <c r="AW515" i="1"/>
  <c r="CC516" i="1"/>
  <c r="AN517" i="1"/>
  <c r="AO517" i="1" s="1"/>
  <c r="CD516" i="1"/>
  <c r="BY516" i="1"/>
  <c r="BZ516" i="1" s="1"/>
  <c r="CH515" i="1"/>
  <c r="A518" i="1"/>
  <c r="C517" i="1"/>
  <c r="CE515" i="1" l="1"/>
  <c r="AV516" i="1"/>
  <c r="AT516" i="1"/>
  <c r="CG515" i="1"/>
  <c r="AW516" i="1"/>
  <c r="AR517" i="1"/>
  <c r="AS517" i="1"/>
  <c r="CD517" i="1"/>
  <c r="BY517" i="1"/>
  <c r="BZ517" i="1" s="1"/>
  <c r="AN518" i="1"/>
  <c r="AO518" i="1" s="1"/>
  <c r="CC517" i="1"/>
  <c r="CH516" i="1"/>
  <c r="C518" i="1"/>
  <c r="AN519" i="1" s="1"/>
  <c r="A519" i="1"/>
  <c r="CG516" i="1" l="1"/>
  <c r="AV517" i="1"/>
  <c r="AT517" i="1"/>
  <c r="CE516" i="1"/>
  <c r="AO519" i="1"/>
  <c r="AW517" i="1"/>
  <c r="AR518" i="1"/>
  <c r="AS518" i="1"/>
  <c r="CC518" i="1"/>
  <c r="BY518" i="1"/>
  <c r="BZ518" i="1" s="1"/>
  <c r="CD518" i="1"/>
  <c r="CH517" i="1"/>
  <c r="A520" i="1"/>
  <c r="C519" i="1"/>
  <c r="CG517" i="1" l="1"/>
  <c r="AV518" i="1"/>
  <c r="AT518" i="1"/>
  <c r="AN520" i="1"/>
  <c r="BY519" i="1"/>
  <c r="AS519" i="1"/>
  <c r="AR519" i="1"/>
  <c r="CD519" i="1"/>
  <c r="CC519" i="1"/>
  <c r="CE517" i="1"/>
  <c r="AW518" i="1"/>
  <c r="CH518" i="1"/>
  <c r="C520" i="1"/>
  <c r="A521" i="1"/>
  <c r="BY520" i="1" l="1"/>
  <c r="BZ520" i="1" s="1"/>
  <c r="AN521" i="1"/>
  <c r="AO521" i="1" s="1"/>
  <c r="CC520" i="1"/>
  <c r="AR520" i="1"/>
  <c r="CD520" i="1"/>
  <c r="AS520" i="1"/>
  <c r="CH519" i="1"/>
  <c r="CG519" i="1"/>
  <c r="CE519" i="1"/>
  <c r="BZ519" i="1"/>
  <c r="AV519" i="1"/>
  <c r="AT519" i="1"/>
  <c r="AW519" i="1"/>
  <c r="CG518" i="1"/>
  <c r="CE518" i="1"/>
  <c r="AO520" i="1"/>
  <c r="A522" i="1"/>
  <c r="C521" i="1"/>
  <c r="AV520" i="1" l="1"/>
  <c r="AT520" i="1"/>
  <c r="AW520" i="1"/>
  <c r="AU521" i="1"/>
  <c r="CH520" i="1"/>
  <c r="AN522" i="1"/>
  <c r="BY521" i="1"/>
  <c r="CG520" i="1" s="1"/>
  <c r="CD521" i="1"/>
  <c r="CC521" i="1"/>
  <c r="AR521" i="1"/>
  <c r="AS521" i="1"/>
  <c r="C522" i="1"/>
  <c r="A523" i="1"/>
  <c r="CH521" i="1" l="1"/>
  <c r="BY522" i="1"/>
  <c r="AN523" i="1"/>
  <c r="AR522" i="1"/>
  <c r="CC522" i="1"/>
  <c r="AS522" i="1"/>
  <c r="CD522" i="1"/>
  <c r="AT521" i="1"/>
  <c r="AV521" i="1"/>
  <c r="AW521" i="1"/>
  <c r="AO522" i="1"/>
  <c r="BZ521" i="1"/>
  <c r="CF521" i="1"/>
  <c r="CE520" i="1"/>
  <c r="A524" i="1"/>
  <c r="C523" i="1"/>
  <c r="AO523" i="1" l="1"/>
  <c r="BZ522" i="1"/>
  <c r="AV522" i="1"/>
  <c r="AT522" i="1"/>
  <c r="AW522" i="1"/>
  <c r="CE521" i="1"/>
  <c r="CH522" i="1"/>
  <c r="BY523" i="1"/>
  <c r="AN524" i="1"/>
  <c r="AR523" i="1"/>
  <c r="CC523" i="1"/>
  <c r="AS523" i="1"/>
  <c r="CD523" i="1"/>
  <c r="CG521" i="1"/>
  <c r="C524" i="1"/>
  <c r="A525" i="1"/>
  <c r="BZ523" i="1" l="1"/>
  <c r="BY524" i="1"/>
  <c r="BZ524" i="1" s="1"/>
  <c r="AN525" i="1"/>
  <c r="AO525" i="1" s="1"/>
  <c r="AS524" i="1"/>
  <c r="CC524" i="1"/>
  <c r="AR524" i="1"/>
  <c r="CD524" i="1"/>
  <c r="AT523" i="1"/>
  <c r="AV523" i="1"/>
  <c r="AW523" i="1"/>
  <c r="CG522" i="1"/>
  <c r="AO524" i="1"/>
  <c r="CH523" i="1"/>
  <c r="CE523" i="1"/>
  <c r="CE522" i="1"/>
  <c r="A526" i="1"/>
  <c r="C525" i="1"/>
  <c r="AU525" i="1" l="1"/>
  <c r="CG523" i="1"/>
  <c r="CH524" i="1"/>
  <c r="AN526" i="1"/>
  <c r="AO526" i="1" s="1"/>
  <c r="BY525" i="1"/>
  <c r="CE524" i="1" s="1"/>
  <c r="AR525" i="1"/>
  <c r="CD525" i="1"/>
  <c r="AS525" i="1"/>
  <c r="CC525" i="1"/>
  <c r="AV524" i="1"/>
  <c r="AT524" i="1"/>
  <c r="AW524" i="1"/>
  <c r="C526" i="1"/>
  <c r="A527" i="1"/>
  <c r="BY526" i="1" l="1"/>
  <c r="BZ526" i="1" s="1"/>
  <c r="AN527" i="1"/>
  <c r="AO527" i="1" s="1"/>
  <c r="CD526" i="1"/>
  <c r="CC526" i="1"/>
  <c r="AR526" i="1"/>
  <c r="AS526" i="1"/>
  <c r="AV525" i="1"/>
  <c r="AT525" i="1"/>
  <c r="AW525" i="1"/>
  <c r="CH525" i="1"/>
  <c r="BZ525" i="1"/>
  <c r="CF525" i="1"/>
  <c r="CG524" i="1"/>
  <c r="A528" i="1"/>
  <c r="C527" i="1"/>
  <c r="CE525" i="1" l="1"/>
  <c r="CG525" i="1"/>
  <c r="CH526" i="1"/>
  <c r="AN528" i="1"/>
  <c r="BY527" i="1"/>
  <c r="CE526" i="1" s="1"/>
  <c r="AR527" i="1"/>
  <c r="AS527" i="1"/>
  <c r="CD527" i="1"/>
  <c r="CC527" i="1"/>
  <c r="AV526" i="1"/>
  <c r="AT526" i="1"/>
  <c r="AW526" i="1"/>
  <c r="C528" i="1"/>
  <c r="A529" i="1"/>
  <c r="CG526" i="1" l="1"/>
  <c r="AO528" i="1"/>
  <c r="AU528" i="1"/>
  <c r="AV527" i="1"/>
  <c r="AT527" i="1"/>
  <c r="AW527" i="1"/>
  <c r="BY528" i="1"/>
  <c r="BZ528" i="1" s="1"/>
  <c r="AN529" i="1"/>
  <c r="CD528" i="1"/>
  <c r="AR528" i="1"/>
  <c r="AS528" i="1"/>
  <c r="CC528" i="1"/>
  <c r="CH527" i="1"/>
  <c r="BZ527" i="1"/>
  <c r="CF528" i="1"/>
  <c r="A530" i="1"/>
  <c r="C529" i="1"/>
  <c r="CE527" i="1" l="1"/>
  <c r="AO529" i="1"/>
  <c r="AU529" i="1"/>
  <c r="AN530" i="1"/>
  <c r="AO530" i="1" s="1"/>
  <c r="BY529" i="1"/>
  <c r="CG528" i="1" s="1"/>
  <c r="AR529" i="1"/>
  <c r="CD529" i="1"/>
  <c r="AS529" i="1"/>
  <c r="CC529" i="1"/>
  <c r="CH528" i="1"/>
  <c r="CG527" i="1"/>
  <c r="AV528" i="1"/>
  <c r="AT528" i="1"/>
  <c r="AW528" i="1"/>
  <c r="C530" i="1"/>
  <c r="A531" i="1"/>
  <c r="CE528" i="1" l="1"/>
  <c r="AW529" i="1"/>
  <c r="AV529" i="1"/>
  <c r="AT529" i="1"/>
  <c r="BZ529" i="1"/>
  <c r="CF529" i="1"/>
  <c r="AN531" i="1"/>
  <c r="AO531" i="1" s="1"/>
  <c r="BY530" i="1"/>
  <c r="BZ530" i="1" s="1"/>
  <c r="CC530" i="1"/>
  <c r="CD530" i="1"/>
  <c r="AR530" i="1"/>
  <c r="AS530" i="1"/>
  <c r="CH529" i="1"/>
  <c r="A532" i="1"/>
  <c r="C531" i="1"/>
  <c r="CH530" i="1" l="1"/>
  <c r="CE529" i="1"/>
  <c r="AW530" i="1"/>
  <c r="AV530" i="1"/>
  <c r="AT530" i="1"/>
  <c r="CG529" i="1"/>
  <c r="AN532" i="1"/>
  <c r="AO532" i="1" s="1"/>
  <c r="BY531" i="1"/>
  <c r="BZ531" i="1" s="1"/>
  <c r="AS531" i="1"/>
  <c r="CC531" i="1"/>
  <c r="AR531" i="1"/>
  <c r="CD531" i="1"/>
  <c r="C532" i="1"/>
  <c r="AN533" i="1" s="1"/>
  <c r="AO533" i="1" s="1"/>
  <c r="A533" i="1"/>
  <c r="CG530" i="1" l="1"/>
  <c r="AW531" i="1"/>
  <c r="AT531" i="1"/>
  <c r="AV531" i="1"/>
  <c r="CH531" i="1"/>
  <c r="CE530" i="1"/>
  <c r="BY532" i="1"/>
  <c r="BZ532" i="1" s="1"/>
  <c r="AR532" i="1"/>
  <c r="AS532" i="1"/>
  <c r="CD532" i="1"/>
  <c r="CC532" i="1"/>
  <c r="A534" i="1"/>
  <c r="C533" i="1"/>
  <c r="CE531" i="1" l="1"/>
  <c r="BY533" i="1"/>
  <c r="BZ533" i="1" s="1"/>
  <c r="AN534" i="1"/>
  <c r="AO534" i="1" s="1"/>
  <c r="AS533" i="1"/>
  <c r="CD533" i="1"/>
  <c r="CC533" i="1"/>
  <c r="AR533" i="1"/>
  <c r="AW532" i="1"/>
  <c r="AV532" i="1"/>
  <c r="AT532" i="1"/>
  <c r="CH532" i="1"/>
  <c r="CG531" i="1"/>
  <c r="C534" i="1"/>
  <c r="A535" i="1"/>
  <c r="CE532" i="1" l="1"/>
  <c r="CG532" i="1"/>
  <c r="AW533" i="1"/>
  <c r="AT533" i="1"/>
  <c r="AV533" i="1"/>
  <c r="AN535" i="1"/>
  <c r="BY534" i="1"/>
  <c r="BZ534" i="1" s="1"/>
  <c r="AR534" i="1"/>
  <c r="AS534" i="1"/>
  <c r="CC534" i="1"/>
  <c r="CD534" i="1"/>
  <c r="CH533" i="1"/>
  <c r="A536" i="1"/>
  <c r="C535" i="1"/>
  <c r="CG533" i="1" l="1"/>
  <c r="CE533" i="1"/>
  <c r="CH534" i="1"/>
  <c r="AO535" i="1"/>
  <c r="AU535" i="1"/>
  <c r="BY535" i="1"/>
  <c r="CE534" i="1" s="1"/>
  <c r="AN536" i="1"/>
  <c r="AO536" i="1" s="1"/>
  <c r="CC535" i="1"/>
  <c r="AR535" i="1"/>
  <c r="CD535" i="1"/>
  <c r="AS535" i="1"/>
  <c r="AW534" i="1"/>
  <c r="AT534" i="1"/>
  <c r="AV534" i="1"/>
  <c r="C536" i="1"/>
  <c r="A537" i="1"/>
  <c r="BZ535" i="1" l="1"/>
  <c r="CF535" i="1"/>
  <c r="CH535" i="1"/>
  <c r="AN537" i="1"/>
  <c r="AO537" i="1" s="1"/>
  <c r="BY536" i="1"/>
  <c r="CC536" i="1"/>
  <c r="AR536" i="1"/>
  <c r="CD536" i="1"/>
  <c r="AS536" i="1"/>
  <c r="AT535" i="1"/>
  <c r="AW535" i="1"/>
  <c r="AV535" i="1"/>
  <c r="CG534" i="1"/>
  <c r="A538" i="1"/>
  <c r="C537" i="1"/>
  <c r="CH536" i="1" l="1"/>
  <c r="BZ536" i="1"/>
  <c r="CG535" i="1"/>
  <c r="BY537" i="1"/>
  <c r="BZ537" i="1" s="1"/>
  <c r="AN538" i="1"/>
  <c r="AO538" i="1" s="1"/>
  <c r="CD537" i="1"/>
  <c r="AR537" i="1"/>
  <c r="CC537" i="1"/>
  <c r="AS537" i="1"/>
  <c r="AV536" i="1"/>
  <c r="AT536" i="1"/>
  <c r="AW536" i="1"/>
  <c r="CE535" i="1"/>
  <c r="AU537" i="1"/>
  <c r="C538" i="1"/>
  <c r="A539" i="1"/>
  <c r="AN539" i="1" l="1"/>
  <c r="AO539" i="1" s="1"/>
  <c r="BY538" i="1"/>
  <c r="BZ538" i="1" s="1"/>
  <c r="CC538" i="1"/>
  <c r="CD538" i="1"/>
  <c r="AS538" i="1"/>
  <c r="AR538" i="1"/>
  <c r="CH537" i="1"/>
  <c r="CE536" i="1"/>
  <c r="AW537" i="1"/>
  <c r="AV537" i="1"/>
  <c r="AT537" i="1"/>
  <c r="CF537" i="1"/>
  <c r="CG536" i="1"/>
  <c r="A540" i="1"/>
  <c r="C539" i="1"/>
  <c r="CE537" i="1" l="1"/>
  <c r="CH538" i="1"/>
  <c r="BY539" i="1"/>
  <c r="BZ539" i="1" s="1"/>
  <c r="AN540" i="1"/>
  <c r="AO540" i="1" s="1"/>
  <c r="AR539" i="1"/>
  <c r="AS539" i="1"/>
  <c r="CC539" i="1"/>
  <c r="CD539" i="1"/>
  <c r="AV538" i="1"/>
  <c r="AT538" i="1"/>
  <c r="AW538" i="1"/>
  <c r="CG537" i="1"/>
  <c r="C540" i="1"/>
  <c r="A541" i="1"/>
  <c r="CE538" i="1" l="1"/>
  <c r="CG538" i="1"/>
  <c r="AN541" i="1"/>
  <c r="AO541" i="1" s="1"/>
  <c r="BY540" i="1"/>
  <c r="BZ540" i="1" s="1"/>
  <c r="CC540" i="1"/>
  <c r="AR540" i="1"/>
  <c r="CD540" i="1"/>
  <c r="AS540" i="1"/>
  <c r="CH539" i="1"/>
  <c r="AV539" i="1"/>
  <c r="AT539" i="1"/>
  <c r="AW539" i="1"/>
  <c r="A542" i="1"/>
  <c r="C541" i="1"/>
  <c r="CG539" i="1" l="1"/>
  <c r="AW540" i="1"/>
  <c r="AV540" i="1"/>
  <c r="AT540" i="1"/>
  <c r="BY541" i="1"/>
  <c r="CE540" i="1" s="1"/>
  <c r="AN542" i="1"/>
  <c r="AO542" i="1" s="1"/>
  <c r="AS541" i="1"/>
  <c r="CC541" i="1"/>
  <c r="CD541" i="1"/>
  <c r="AR541" i="1"/>
  <c r="CH540" i="1"/>
  <c r="CE539" i="1"/>
  <c r="C542" i="1"/>
  <c r="A543" i="1"/>
  <c r="BZ541" i="1" l="1"/>
  <c r="CH541" i="1"/>
  <c r="AU542" i="1"/>
  <c r="AN543" i="1"/>
  <c r="BY542" i="1"/>
  <c r="CE541" i="1" s="1"/>
  <c r="CD542" i="1"/>
  <c r="AS542" i="1"/>
  <c r="AR542" i="1"/>
  <c r="CC542" i="1"/>
  <c r="CG540" i="1"/>
  <c r="AW541" i="1"/>
  <c r="AT541" i="1"/>
  <c r="AV541" i="1"/>
  <c r="A544" i="1"/>
  <c r="C543" i="1"/>
  <c r="CH542" i="1" l="1"/>
  <c r="BZ542" i="1"/>
  <c r="CF542" i="1"/>
  <c r="AW542" i="1"/>
  <c r="AT542" i="1"/>
  <c r="AV542" i="1"/>
  <c r="AO543" i="1"/>
  <c r="BY543" i="1"/>
  <c r="AN544" i="1"/>
  <c r="AO544" i="1" s="1"/>
  <c r="AS543" i="1"/>
  <c r="CC543" i="1"/>
  <c r="AR543" i="1"/>
  <c r="CD543" i="1"/>
  <c r="CG541" i="1"/>
  <c r="A545" i="1"/>
  <c r="C544" i="1"/>
  <c r="CE542" i="1" l="1"/>
  <c r="AV543" i="1"/>
  <c r="AW543" i="1"/>
  <c r="CH543" i="1"/>
  <c r="AN545" i="1"/>
  <c r="BY544" i="1"/>
  <c r="CD544" i="1"/>
  <c r="AR544" i="1"/>
  <c r="CC544" i="1"/>
  <c r="AS544" i="1"/>
  <c r="BZ543" i="1"/>
  <c r="AT543" i="1"/>
  <c r="CG542" i="1"/>
  <c r="A546" i="1"/>
  <c r="C545" i="1"/>
  <c r="BZ544" i="1" l="1"/>
  <c r="BY545" i="1"/>
  <c r="AN546" i="1"/>
  <c r="CC545" i="1"/>
  <c r="AR545" i="1"/>
  <c r="CD545" i="1"/>
  <c r="AS545" i="1"/>
  <c r="AW544" i="1"/>
  <c r="AT544" i="1"/>
  <c r="CE543" i="1"/>
  <c r="CG543" i="1"/>
  <c r="CH544" i="1"/>
  <c r="AV544" i="1"/>
  <c r="AO545" i="1"/>
  <c r="C546" i="1"/>
  <c r="A547" i="1"/>
  <c r="AO546" i="1" l="1"/>
  <c r="CE544" i="1"/>
  <c r="CG544" i="1"/>
  <c r="AN547" i="1"/>
  <c r="AO547" i="1" s="1"/>
  <c r="BY546" i="1"/>
  <c r="BZ546" i="1" s="1"/>
  <c r="CC546" i="1"/>
  <c r="CD546" i="1"/>
  <c r="AS546" i="1"/>
  <c r="AR546" i="1"/>
  <c r="AT545" i="1"/>
  <c r="AW545" i="1"/>
  <c r="AV545" i="1"/>
  <c r="CH545" i="1"/>
  <c r="BZ545" i="1"/>
  <c r="A548" i="1"/>
  <c r="C547" i="1"/>
  <c r="CG545" i="1" l="1"/>
  <c r="CE545" i="1"/>
  <c r="BY547" i="1"/>
  <c r="CE546" i="1" s="1"/>
  <c r="AN548" i="1"/>
  <c r="AO548" i="1" s="1"/>
  <c r="AS547" i="1"/>
  <c r="CD547" i="1"/>
  <c r="AR547" i="1"/>
  <c r="CC547" i="1"/>
  <c r="CH546" i="1"/>
  <c r="AV546" i="1"/>
  <c r="AW546" i="1"/>
  <c r="AT546" i="1"/>
  <c r="C548" i="1"/>
  <c r="AN549" i="1" s="1"/>
  <c r="A549" i="1"/>
  <c r="CG546" i="1" l="1"/>
  <c r="AO549" i="1"/>
  <c r="CH547" i="1"/>
  <c r="BY548" i="1"/>
  <c r="BZ548" i="1" s="1"/>
  <c r="AS548" i="1"/>
  <c r="CD548" i="1"/>
  <c r="CC548" i="1"/>
  <c r="AR548" i="1"/>
  <c r="AV547" i="1"/>
  <c r="AT547" i="1"/>
  <c r="AW547" i="1"/>
  <c r="CE547" i="1"/>
  <c r="BZ547" i="1"/>
  <c r="A550" i="1"/>
  <c r="C549" i="1"/>
  <c r="AU549" i="1" s="1"/>
  <c r="AN550" i="1" l="1"/>
  <c r="BY549" i="1"/>
  <c r="CD549" i="1"/>
  <c r="AR549" i="1"/>
  <c r="AS549" i="1"/>
  <c r="CC549" i="1"/>
  <c r="CG547" i="1"/>
  <c r="AV548" i="1"/>
  <c r="AT548" i="1"/>
  <c r="AW548" i="1"/>
  <c r="CH548" i="1"/>
  <c r="C550" i="1"/>
  <c r="A551" i="1"/>
  <c r="AN551" i="1" l="1"/>
  <c r="AO551" i="1" s="1"/>
  <c r="BY550" i="1"/>
  <c r="AS550" i="1"/>
  <c r="CC550" i="1"/>
  <c r="AR550" i="1"/>
  <c r="CD550" i="1"/>
  <c r="CH549" i="1"/>
  <c r="BZ549" i="1"/>
  <c r="CF549" i="1"/>
  <c r="AV549" i="1"/>
  <c r="AO550" i="1"/>
  <c r="CE548" i="1"/>
  <c r="AT549" i="1"/>
  <c r="AW549" i="1"/>
  <c r="CG548" i="1"/>
  <c r="A552" i="1"/>
  <c r="C551" i="1"/>
  <c r="BZ550" i="1" l="1"/>
  <c r="CF550" i="1"/>
  <c r="CG549" i="1"/>
  <c r="AV550" i="1"/>
  <c r="AW550" i="1"/>
  <c r="AT550" i="1"/>
  <c r="BY551" i="1"/>
  <c r="BZ551" i="1" s="1"/>
  <c r="AN552" i="1"/>
  <c r="CD551" i="1"/>
  <c r="AR551" i="1"/>
  <c r="AS551" i="1"/>
  <c r="CC551" i="1"/>
  <c r="CH550" i="1"/>
  <c r="CE550" i="1"/>
  <c r="CE549" i="1"/>
  <c r="C552" i="1"/>
  <c r="A553" i="1"/>
  <c r="CG550" i="1" l="1"/>
  <c r="AN553" i="1"/>
  <c r="AO553" i="1" s="1"/>
  <c r="BY552" i="1"/>
  <c r="CG551" i="1" s="1"/>
  <c r="CC552" i="1"/>
  <c r="CD552" i="1"/>
  <c r="AS552" i="1"/>
  <c r="AR552" i="1"/>
  <c r="CE551" i="1"/>
  <c r="CH551" i="1"/>
  <c r="AO552" i="1"/>
  <c r="AW551" i="1"/>
  <c r="AT551" i="1"/>
  <c r="AV551" i="1"/>
  <c r="A554" i="1"/>
  <c r="C553" i="1"/>
  <c r="BY553" i="1" l="1"/>
  <c r="BZ553" i="1" s="1"/>
  <c r="AN554" i="1"/>
  <c r="AO554" i="1" s="1"/>
  <c r="CC553" i="1"/>
  <c r="CD553" i="1"/>
  <c r="AR553" i="1"/>
  <c r="AS553" i="1"/>
  <c r="CH552" i="1"/>
  <c r="AT552" i="1"/>
  <c r="AV552" i="1"/>
  <c r="AW552" i="1"/>
  <c r="BZ552" i="1"/>
  <c r="C554" i="1"/>
  <c r="AN555" i="1" s="1"/>
  <c r="AO555" i="1" s="1"/>
  <c r="A555" i="1"/>
  <c r="CG552" i="1" l="1"/>
  <c r="AT553" i="1"/>
  <c r="AW553" i="1"/>
  <c r="AV553" i="1"/>
  <c r="BY554" i="1"/>
  <c r="CG553" i="1" s="1"/>
  <c r="AS554" i="1"/>
  <c r="AR554" i="1"/>
  <c r="CC554" i="1"/>
  <c r="CD554" i="1"/>
  <c r="CH553" i="1"/>
  <c r="CE552" i="1"/>
  <c r="A556" i="1"/>
  <c r="C555" i="1"/>
  <c r="AN556" i="1" l="1"/>
  <c r="AO556" i="1" s="1"/>
  <c r="BY555" i="1"/>
  <c r="BZ555" i="1" s="1"/>
  <c r="AS555" i="1"/>
  <c r="CD555" i="1"/>
  <c r="CC555" i="1"/>
  <c r="AR555" i="1"/>
  <c r="AV554" i="1"/>
  <c r="AW554" i="1"/>
  <c r="AT554" i="1"/>
  <c r="CE554" i="1"/>
  <c r="BZ554" i="1"/>
  <c r="CE553" i="1"/>
  <c r="CH554" i="1"/>
  <c r="CG554" i="1"/>
  <c r="C556" i="1"/>
  <c r="A557" i="1"/>
  <c r="BY556" i="1" l="1"/>
  <c r="BZ556" i="1" s="1"/>
  <c r="AN557" i="1"/>
  <c r="AS556" i="1"/>
  <c r="CC556" i="1"/>
  <c r="CD556" i="1"/>
  <c r="AR556" i="1"/>
  <c r="AW555" i="1"/>
  <c r="AT555" i="1"/>
  <c r="AV555" i="1"/>
  <c r="CH555" i="1"/>
  <c r="CG555" i="1"/>
  <c r="CF556" i="1"/>
  <c r="AU556" i="1"/>
  <c r="A558" i="1"/>
  <c r="C557" i="1"/>
  <c r="AW556" i="1" l="1"/>
  <c r="AV556" i="1"/>
  <c r="AT556" i="1"/>
  <c r="AO557" i="1"/>
  <c r="BY557" i="1"/>
  <c r="AN558" i="1"/>
  <c r="AO558" i="1" s="1"/>
  <c r="CD557" i="1"/>
  <c r="AR557" i="1"/>
  <c r="AS557" i="1"/>
  <c r="CC557" i="1"/>
  <c r="CE555" i="1"/>
  <c r="CH556" i="1"/>
  <c r="CE556" i="1"/>
  <c r="CG556" i="1"/>
  <c r="A559" i="1"/>
  <c r="C558" i="1"/>
  <c r="CH557" i="1" l="1"/>
  <c r="BZ557" i="1"/>
  <c r="BY558" i="1"/>
  <c r="BZ558" i="1" s="1"/>
  <c r="AN559" i="1"/>
  <c r="AO559" i="1" s="1"/>
  <c r="AS558" i="1"/>
  <c r="CC558" i="1"/>
  <c r="AR558" i="1"/>
  <c r="CD558" i="1"/>
  <c r="AW557" i="1"/>
  <c r="AT557" i="1"/>
  <c r="AV557" i="1"/>
  <c r="C559" i="1"/>
  <c r="A560" i="1"/>
  <c r="AN560" i="1" l="1"/>
  <c r="BY559" i="1"/>
  <c r="BZ559" i="1" s="1"/>
  <c r="CD559" i="1"/>
  <c r="AR559" i="1"/>
  <c r="CC559" i="1"/>
  <c r="AS559" i="1"/>
  <c r="CE557" i="1"/>
  <c r="AW558" i="1"/>
  <c r="AT558" i="1"/>
  <c r="AV558" i="1"/>
  <c r="CG557" i="1"/>
  <c r="CE558" i="1"/>
  <c r="CH558" i="1"/>
  <c r="CG558" i="1"/>
  <c r="C560" i="1"/>
  <c r="A561" i="1"/>
  <c r="AT559" i="1" l="1"/>
  <c r="AV559" i="1"/>
  <c r="AW559" i="1"/>
  <c r="AN561" i="1"/>
  <c r="AO561" i="1" s="1"/>
  <c r="BY560" i="1"/>
  <c r="CE559" i="1" s="1"/>
  <c r="CC560" i="1"/>
  <c r="CD560" i="1"/>
  <c r="AR560" i="1"/>
  <c r="AS560" i="1"/>
  <c r="CH559" i="1"/>
  <c r="CG559" i="1"/>
  <c r="AO560" i="1"/>
  <c r="A562" i="1"/>
  <c r="C561" i="1"/>
  <c r="BY561" i="1" l="1"/>
  <c r="BZ561" i="1" s="1"/>
  <c r="AN562" i="1"/>
  <c r="AR561" i="1"/>
  <c r="CC561" i="1"/>
  <c r="AS561" i="1"/>
  <c r="CD561" i="1"/>
  <c r="AV560" i="1"/>
  <c r="AT560" i="1"/>
  <c r="AW560" i="1"/>
  <c r="CH560" i="1"/>
  <c r="CG560" i="1"/>
  <c r="CE560" i="1"/>
  <c r="BZ560" i="1"/>
  <c r="C562" i="1"/>
  <c r="A563" i="1"/>
  <c r="CH561" i="1" l="1"/>
  <c r="CG561" i="1"/>
  <c r="AO562" i="1"/>
  <c r="AU563" i="1"/>
  <c r="BY562" i="1"/>
  <c r="AN563" i="1"/>
  <c r="AO563" i="1" s="1"/>
  <c r="AR562" i="1"/>
  <c r="CD562" i="1"/>
  <c r="AS562" i="1"/>
  <c r="CC562" i="1"/>
  <c r="AW561" i="1"/>
  <c r="AV561" i="1"/>
  <c r="AT561" i="1"/>
  <c r="A564" i="1"/>
  <c r="C563" i="1"/>
  <c r="AN564" i="1" l="1"/>
  <c r="BY563" i="1"/>
  <c r="BZ563" i="1" s="1"/>
  <c r="CC563" i="1"/>
  <c r="AS563" i="1"/>
  <c r="CD563" i="1"/>
  <c r="AR563" i="1"/>
  <c r="AW562" i="1"/>
  <c r="AT562" i="1"/>
  <c r="AV562" i="1"/>
  <c r="CE562" i="1"/>
  <c r="CG562" i="1"/>
  <c r="CH562" i="1"/>
  <c r="BZ562" i="1"/>
  <c r="CF563" i="1"/>
  <c r="CE561" i="1"/>
  <c r="C564" i="1"/>
  <c r="A565" i="1"/>
  <c r="CH563" i="1" l="1"/>
  <c r="AW563" i="1"/>
  <c r="AT563" i="1"/>
  <c r="AV563" i="1"/>
  <c r="BY564" i="1"/>
  <c r="AN565" i="1"/>
  <c r="AO565" i="1" s="1"/>
  <c r="CD564" i="1"/>
  <c r="AR564" i="1"/>
  <c r="AS564" i="1"/>
  <c r="CC564" i="1"/>
  <c r="AO564" i="1"/>
  <c r="A566" i="1"/>
  <c r="C565" i="1"/>
  <c r="CG563" i="1" l="1"/>
  <c r="CE563" i="1"/>
  <c r="BY565" i="1"/>
  <c r="BZ565" i="1" s="1"/>
  <c r="AN566" i="1"/>
  <c r="CC565" i="1"/>
  <c r="CD565" i="1"/>
  <c r="AR565" i="1"/>
  <c r="AS565" i="1"/>
  <c r="CG564" i="1"/>
  <c r="CH564" i="1"/>
  <c r="CE564" i="1"/>
  <c r="AW564" i="1"/>
  <c r="AT564" i="1"/>
  <c r="AV564" i="1"/>
  <c r="BZ564" i="1"/>
  <c r="C566" i="1"/>
  <c r="A567" i="1"/>
  <c r="AN567" i="1" l="1"/>
  <c r="BY566" i="1"/>
  <c r="CE565" i="1" s="1"/>
  <c r="CD566" i="1"/>
  <c r="AR566" i="1"/>
  <c r="AS566" i="1"/>
  <c r="CC566" i="1"/>
  <c r="CH565" i="1"/>
  <c r="AO566" i="1"/>
  <c r="AW565" i="1"/>
  <c r="AT565" i="1"/>
  <c r="AV565" i="1"/>
  <c r="A568" i="1"/>
  <c r="C567" i="1"/>
  <c r="AN568" i="1" s="1"/>
  <c r="AO568" i="1" s="1"/>
  <c r="AO567" i="1" l="1"/>
  <c r="CG565" i="1"/>
  <c r="BY567" i="1"/>
  <c r="BZ567" i="1" s="1"/>
  <c r="CD567" i="1"/>
  <c r="AS567" i="1"/>
  <c r="CC567" i="1"/>
  <c r="AR567" i="1"/>
  <c r="AW566" i="1"/>
  <c r="AV566" i="1"/>
  <c r="AT566" i="1"/>
  <c r="BZ566" i="1"/>
  <c r="CH566" i="1"/>
  <c r="CG566" i="1"/>
  <c r="A569" i="1"/>
  <c r="C568" i="1"/>
  <c r="AN569" i="1" l="1"/>
  <c r="AO569" i="1" s="1"/>
  <c r="BY568" i="1"/>
  <c r="CC568" i="1"/>
  <c r="AR568" i="1"/>
  <c r="CD568" i="1"/>
  <c r="AS568" i="1"/>
  <c r="AU568" i="1"/>
  <c r="CH567" i="1"/>
  <c r="CG567" i="1"/>
  <c r="CE566" i="1"/>
  <c r="AW567" i="1"/>
  <c r="AT567" i="1"/>
  <c r="AV567" i="1"/>
  <c r="A570" i="1"/>
  <c r="C569" i="1"/>
  <c r="BZ568" i="1" l="1"/>
  <c r="BY569" i="1"/>
  <c r="BZ569" i="1" s="1"/>
  <c r="AN570" i="1"/>
  <c r="AR569" i="1"/>
  <c r="CD569" i="1"/>
  <c r="AS569" i="1"/>
  <c r="CC569" i="1"/>
  <c r="CE567" i="1"/>
  <c r="AW568" i="1"/>
  <c r="AV568" i="1"/>
  <c r="AT568" i="1"/>
  <c r="CF568" i="1"/>
  <c r="CH568" i="1"/>
  <c r="CG568" i="1"/>
  <c r="CE568" i="1"/>
  <c r="C570" i="1"/>
  <c r="A571" i="1"/>
  <c r="CH569" i="1" l="1"/>
  <c r="AO570" i="1"/>
  <c r="AU570" i="1"/>
  <c r="BY570" i="1"/>
  <c r="AN571" i="1"/>
  <c r="AO571" i="1" s="1"/>
  <c r="CC570" i="1"/>
  <c r="CD570" i="1"/>
  <c r="AR570" i="1"/>
  <c r="AS570" i="1"/>
  <c r="AV569" i="1"/>
  <c r="AT569" i="1"/>
  <c r="AW569" i="1"/>
  <c r="A572" i="1"/>
  <c r="C571" i="1"/>
  <c r="AW570" i="1" l="1"/>
  <c r="AT570" i="1"/>
  <c r="AV570" i="1"/>
  <c r="BZ570" i="1"/>
  <c r="CF570" i="1"/>
  <c r="CE569" i="1"/>
  <c r="BY571" i="1"/>
  <c r="BZ571" i="1" s="1"/>
  <c r="AN572" i="1"/>
  <c r="CD571" i="1"/>
  <c r="AS571" i="1"/>
  <c r="CC571" i="1"/>
  <c r="AR571" i="1"/>
  <c r="CH570" i="1"/>
  <c r="CG570" i="1"/>
  <c r="CE570" i="1"/>
  <c r="CG569" i="1"/>
  <c r="C572" i="1"/>
  <c r="A573" i="1"/>
  <c r="BY572" i="1" l="1"/>
  <c r="AN573" i="1"/>
  <c r="AO573" i="1" s="1"/>
  <c r="CD572" i="1"/>
  <c r="CC572" i="1"/>
  <c r="AR572" i="1"/>
  <c r="AS572" i="1"/>
  <c r="AT571" i="1"/>
  <c r="AV571" i="1"/>
  <c r="AW571" i="1"/>
  <c r="AO572" i="1"/>
  <c r="CH571" i="1"/>
  <c r="CG571" i="1"/>
  <c r="A574" i="1"/>
  <c r="C573" i="1"/>
  <c r="AT572" i="1" l="1"/>
  <c r="AV572" i="1"/>
  <c r="AW572" i="1"/>
  <c r="BZ572" i="1"/>
  <c r="BY573" i="1"/>
  <c r="BZ573" i="1" s="1"/>
  <c r="AN574" i="1"/>
  <c r="AO574" i="1" s="1"/>
  <c r="AS573" i="1"/>
  <c r="CD573" i="1"/>
  <c r="AR573" i="1"/>
  <c r="CC573" i="1"/>
  <c r="CE571" i="1"/>
  <c r="CH572" i="1"/>
  <c r="CE572" i="1"/>
  <c r="C574" i="1"/>
  <c r="A575" i="1"/>
  <c r="AW573" i="1" l="1"/>
  <c r="AV573" i="1"/>
  <c r="AT573" i="1"/>
  <c r="AN575" i="1"/>
  <c r="BY574" i="1"/>
  <c r="BZ574" i="1" s="1"/>
  <c r="AS574" i="1"/>
  <c r="CC574" i="1"/>
  <c r="AR574" i="1"/>
  <c r="CD574" i="1"/>
  <c r="CG572" i="1"/>
  <c r="CH573" i="1"/>
  <c r="CG573" i="1"/>
  <c r="A576" i="1"/>
  <c r="C575" i="1"/>
  <c r="BY575" i="1" l="1"/>
  <c r="AN576" i="1"/>
  <c r="AO576" i="1" s="1"/>
  <c r="CD575" i="1"/>
  <c r="AS575" i="1"/>
  <c r="CC575" i="1"/>
  <c r="AR575" i="1"/>
  <c r="CE573" i="1"/>
  <c r="AV574" i="1"/>
  <c r="AW574" i="1"/>
  <c r="AT574" i="1"/>
  <c r="AO575" i="1"/>
  <c r="CH574" i="1"/>
  <c r="CE574" i="1"/>
  <c r="C576" i="1"/>
  <c r="A577" i="1"/>
  <c r="AW575" i="1" l="1"/>
  <c r="AV575" i="1"/>
  <c r="AT575" i="1"/>
  <c r="CH575" i="1"/>
  <c r="BZ575" i="1"/>
  <c r="AN577" i="1"/>
  <c r="BY576" i="1"/>
  <c r="BZ576" i="1" s="1"/>
  <c r="CC576" i="1"/>
  <c r="AS576" i="1"/>
  <c r="AR576" i="1"/>
  <c r="CD576" i="1"/>
  <c r="CG574" i="1"/>
  <c r="A578" i="1"/>
  <c r="C577" i="1"/>
  <c r="CE575" i="1" l="1"/>
  <c r="AV576" i="1"/>
  <c r="AW576" i="1"/>
  <c r="AT576" i="1"/>
  <c r="AO577" i="1"/>
  <c r="CG575" i="1"/>
  <c r="CH576" i="1"/>
  <c r="CG576" i="1"/>
  <c r="AN578" i="1"/>
  <c r="BY577" i="1"/>
  <c r="CE576" i="1" s="1"/>
  <c r="CC577" i="1"/>
  <c r="AS577" i="1"/>
  <c r="CD577" i="1"/>
  <c r="AR577" i="1"/>
  <c r="C578" i="1"/>
  <c r="A579" i="1"/>
  <c r="AO578" i="1" l="1"/>
  <c r="AU578" i="1"/>
  <c r="AN579" i="1"/>
  <c r="AO579" i="1" s="1"/>
  <c r="BY578" i="1"/>
  <c r="CD578" i="1"/>
  <c r="AS578" i="1"/>
  <c r="AR578" i="1"/>
  <c r="CC578" i="1"/>
  <c r="CH577" i="1"/>
  <c r="AW577" i="1"/>
  <c r="AT577" i="1"/>
  <c r="AV577" i="1"/>
  <c r="BZ577" i="1"/>
  <c r="A580" i="1"/>
  <c r="C579" i="1"/>
  <c r="CH578" i="1" l="1"/>
  <c r="CG578" i="1"/>
  <c r="BZ578" i="1"/>
  <c r="CF578" i="1"/>
  <c r="BY579" i="1"/>
  <c r="BZ579" i="1" s="1"/>
  <c r="AN580" i="1"/>
  <c r="CD579" i="1"/>
  <c r="CC579" i="1"/>
  <c r="AR579" i="1"/>
  <c r="AS579" i="1"/>
  <c r="CE577" i="1"/>
  <c r="AV578" i="1"/>
  <c r="AW578" i="1"/>
  <c r="AT578" i="1"/>
  <c r="CG577" i="1"/>
  <c r="C580" i="1"/>
  <c r="A581" i="1"/>
  <c r="AO580" i="1" l="1"/>
  <c r="AN581" i="1"/>
  <c r="AO581" i="1" s="1"/>
  <c r="BY580" i="1"/>
  <c r="AR580" i="1"/>
  <c r="CD580" i="1"/>
  <c r="AS580" i="1"/>
  <c r="CC580" i="1"/>
  <c r="AW579" i="1"/>
  <c r="AT579" i="1"/>
  <c r="AV579" i="1"/>
  <c r="CE578" i="1"/>
  <c r="CH579" i="1"/>
  <c r="A582" i="1"/>
  <c r="C581" i="1"/>
  <c r="CH580" i="1" l="1"/>
  <c r="BZ580" i="1"/>
  <c r="CE579" i="1"/>
  <c r="BY581" i="1"/>
  <c r="BZ581" i="1" s="1"/>
  <c r="AN582" i="1"/>
  <c r="AO582" i="1" s="1"/>
  <c r="AS581" i="1"/>
  <c r="CC581" i="1"/>
  <c r="CD581" i="1"/>
  <c r="AR581" i="1"/>
  <c r="CG579" i="1"/>
  <c r="AW580" i="1"/>
  <c r="AT580" i="1"/>
  <c r="AV580" i="1"/>
  <c r="C582" i="1"/>
  <c r="A583" i="1"/>
  <c r="CH581" i="1" l="1"/>
  <c r="BY582" i="1"/>
  <c r="BZ582" i="1" s="1"/>
  <c r="AN583" i="1"/>
  <c r="CC582" i="1"/>
  <c r="AS582" i="1"/>
  <c r="CD582" i="1"/>
  <c r="AR582" i="1"/>
  <c r="CE580" i="1"/>
  <c r="AW581" i="1"/>
  <c r="AT581" i="1"/>
  <c r="AV581" i="1"/>
  <c r="CG580" i="1"/>
  <c r="A584" i="1"/>
  <c r="C583" i="1"/>
  <c r="CG581" i="1" l="1"/>
  <c r="CH582" i="1"/>
  <c r="CG582" i="1"/>
  <c r="AN584" i="1"/>
  <c r="AO584" i="1" s="1"/>
  <c r="BY583" i="1"/>
  <c r="CE582" i="1" s="1"/>
  <c r="CD583" i="1"/>
  <c r="CC583" i="1"/>
  <c r="AR583" i="1"/>
  <c r="AS583" i="1"/>
  <c r="AW582" i="1"/>
  <c r="AV582" i="1"/>
  <c r="AT582" i="1"/>
  <c r="AO583" i="1"/>
  <c r="AU583" i="1"/>
  <c r="CE581" i="1"/>
  <c r="C584" i="1"/>
  <c r="A585" i="1"/>
  <c r="CG583" i="1" l="1"/>
  <c r="CH583" i="1"/>
  <c r="BZ583" i="1"/>
  <c r="CF583" i="1"/>
  <c r="AN585" i="1"/>
  <c r="AO585" i="1" s="1"/>
  <c r="BY584" i="1"/>
  <c r="BZ584" i="1" s="1"/>
  <c r="CC584" i="1"/>
  <c r="AS584" i="1"/>
  <c r="CD584" i="1"/>
  <c r="AR584" i="1"/>
  <c r="AW583" i="1"/>
  <c r="AT583" i="1"/>
  <c r="AV583" i="1"/>
  <c r="A586" i="1"/>
  <c r="C585" i="1"/>
  <c r="BY585" i="1" l="1"/>
  <c r="BZ585" i="1" s="1"/>
  <c r="AN586" i="1"/>
  <c r="AO586" i="1" s="1"/>
  <c r="AS585" i="1"/>
  <c r="CC585" i="1"/>
  <c r="AR585" i="1"/>
  <c r="CD585" i="1"/>
  <c r="CE584" i="1"/>
  <c r="CG584" i="1"/>
  <c r="CH584" i="1"/>
  <c r="AT584" i="1"/>
  <c r="AV584" i="1"/>
  <c r="AW584" i="1"/>
  <c r="CE583" i="1"/>
  <c r="C586" i="1"/>
  <c r="A587" i="1"/>
  <c r="CE585" i="1" l="1"/>
  <c r="CH585" i="1"/>
  <c r="BY586" i="1"/>
  <c r="BZ586" i="1" s="1"/>
  <c r="AN587" i="1"/>
  <c r="AO587" i="1" s="1"/>
  <c r="CD586" i="1"/>
  <c r="AR586" i="1"/>
  <c r="AS586" i="1"/>
  <c r="CC586" i="1"/>
  <c r="AT585" i="1"/>
  <c r="AW585" i="1"/>
  <c r="AV585" i="1"/>
  <c r="A588" i="1"/>
  <c r="C587" i="1"/>
  <c r="BY587" i="1" l="1"/>
  <c r="BZ587" i="1" s="1"/>
  <c r="AN588" i="1"/>
  <c r="AO588" i="1" s="1"/>
  <c r="CD587" i="1"/>
  <c r="AR587" i="1"/>
  <c r="CC587" i="1"/>
  <c r="AS587" i="1"/>
  <c r="AV586" i="1"/>
  <c r="AW586" i="1"/>
  <c r="AT586" i="1"/>
  <c r="CG586" i="1"/>
  <c r="CH586" i="1"/>
  <c r="CG585" i="1"/>
  <c r="C588" i="1"/>
  <c r="A589" i="1"/>
  <c r="AV587" i="1" l="1"/>
  <c r="AW587" i="1"/>
  <c r="AT587" i="1"/>
  <c r="AN589" i="1"/>
  <c r="AO589" i="1" s="1"/>
  <c r="BY588" i="1"/>
  <c r="BZ588" i="1" s="1"/>
  <c r="AR588" i="1"/>
  <c r="CC588" i="1"/>
  <c r="AS588" i="1"/>
  <c r="CD588" i="1"/>
  <c r="CE586" i="1"/>
  <c r="CE587" i="1"/>
  <c r="CG587" i="1"/>
  <c r="CH587" i="1"/>
  <c r="A590" i="1"/>
  <c r="C589" i="1"/>
  <c r="BY589" i="1" l="1"/>
  <c r="BZ589" i="1" s="1"/>
  <c r="AN590" i="1"/>
  <c r="AO590" i="1" s="1"/>
  <c r="AS589" i="1"/>
  <c r="CC589" i="1"/>
  <c r="CD589" i="1"/>
  <c r="AR589" i="1"/>
  <c r="CG588" i="1"/>
  <c r="CH588" i="1"/>
  <c r="CE588" i="1"/>
  <c r="AT588" i="1"/>
  <c r="AV588" i="1"/>
  <c r="AW588" i="1"/>
  <c r="C590" i="1"/>
  <c r="A591" i="1"/>
  <c r="CH589" i="1" l="1"/>
  <c r="AT589" i="1"/>
  <c r="AW589" i="1"/>
  <c r="AV589" i="1"/>
  <c r="AN591" i="1"/>
  <c r="AO591" i="1" s="1"/>
  <c r="BY590" i="1"/>
  <c r="BZ590" i="1" s="1"/>
  <c r="AR590" i="1"/>
  <c r="CD590" i="1"/>
  <c r="CC590" i="1"/>
  <c r="CH590" i="1" s="1"/>
  <c r="AS590" i="1"/>
  <c r="C591" i="1"/>
  <c r="AN592" i="1" s="1"/>
  <c r="AO592" i="1" s="1"/>
  <c r="A592" i="1"/>
  <c r="CE589" i="1" l="1"/>
  <c r="AV590" i="1"/>
  <c r="AW590" i="1"/>
  <c r="AT590" i="1"/>
  <c r="CG589" i="1"/>
  <c r="CC591" i="1"/>
  <c r="BY591" i="1"/>
  <c r="AR591" i="1"/>
  <c r="CD591" i="1"/>
  <c r="AS591" i="1"/>
  <c r="C592" i="1"/>
  <c r="A593" i="1"/>
  <c r="BY592" i="1" l="1"/>
  <c r="BZ592" i="1" s="1"/>
  <c r="AN593" i="1"/>
  <c r="AO593" i="1" s="1"/>
  <c r="AS592" i="1"/>
  <c r="AR592" i="1"/>
  <c r="AW592" i="1" s="1"/>
  <c r="CD592" i="1"/>
  <c r="CC592" i="1"/>
  <c r="CH592" i="1" s="1"/>
  <c r="AW591" i="1"/>
  <c r="CG590" i="1"/>
  <c r="BZ591" i="1"/>
  <c r="CE590" i="1"/>
  <c r="CH591" i="1"/>
  <c r="A594" i="1"/>
  <c r="C593" i="1"/>
  <c r="BY593" i="1" l="1"/>
  <c r="BZ593" i="1" s="1"/>
  <c r="AN594" i="1"/>
  <c r="AO594" i="1" s="1"/>
  <c r="AR593" i="1"/>
  <c r="AW593" i="1" s="1"/>
  <c r="AS593" i="1"/>
  <c r="CC593" i="1"/>
  <c r="CH593" i="1" s="1"/>
  <c r="CD593" i="1"/>
  <c r="C594" i="1"/>
  <c r="A595" i="1"/>
  <c r="BY594" i="1" l="1"/>
  <c r="BZ594" i="1" s="1"/>
  <c r="AN595" i="1"/>
  <c r="AO595" i="1" s="1"/>
  <c r="CC594" i="1"/>
  <c r="CH594" i="1" s="1"/>
  <c r="CD594" i="1"/>
  <c r="AS594" i="1"/>
  <c r="AR594" i="1"/>
  <c r="AW594" i="1" s="1"/>
  <c r="A596" i="1"/>
  <c r="C595" i="1"/>
  <c r="BY595" i="1" l="1"/>
  <c r="BZ595" i="1" s="1"/>
  <c r="AN596" i="1"/>
  <c r="AO596" i="1" s="1"/>
  <c r="AS595" i="1"/>
  <c r="CD595" i="1"/>
  <c r="AR595" i="1"/>
  <c r="AW595" i="1" s="1"/>
  <c r="CC595" i="1"/>
  <c r="CH595" i="1" s="1"/>
  <c r="C596" i="1"/>
  <c r="A597" i="1"/>
  <c r="BY596" i="1" l="1"/>
  <c r="BZ596" i="1" s="1"/>
  <c r="AN597" i="1"/>
  <c r="AO597" i="1" s="1"/>
  <c r="CD596" i="1"/>
  <c r="CC596" i="1"/>
  <c r="CH596" i="1" s="1"/>
  <c r="AS596" i="1"/>
  <c r="AR596" i="1"/>
  <c r="AW596" i="1" s="1"/>
  <c r="C597" i="1"/>
  <c r="A598" i="1"/>
  <c r="C598" i="1" l="1"/>
  <c r="A599" i="1"/>
  <c r="BY597" i="1"/>
  <c r="BZ597" i="1" s="1"/>
  <c r="AN598" i="1"/>
  <c r="AO598" i="1" s="1"/>
  <c r="CC597" i="1"/>
  <c r="CH597" i="1" s="1"/>
  <c r="AR597" i="1"/>
  <c r="AW597" i="1" s="1"/>
  <c r="CD597" i="1"/>
  <c r="AS597" i="1"/>
  <c r="BY598" i="1" l="1"/>
  <c r="BZ598" i="1" s="1"/>
  <c r="AN599" i="1"/>
  <c r="AO599" i="1" s="1"/>
  <c r="AR598" i="1"/>
  <c r="AW598" i="1" s="1"/>
  <c r="CC598" i="1"/>
  <c r="CH598" i="1" s="1"/>
  <c r="AS598" i="1"/>
  <c r="CD598" i="1"/>
  <c r="C599" i="1"/>
  <c r="A600" i="1"/>
  <c r="C600" i="1" l="1"/>
  <c r="A601" i="1"/>
  <c r="BY599" i="1"/>
  <c r="BZ599" i="1" s="1"/>
  <c r="AN600" i="1"/>
  <c r="AO600" i="1" s="1"/>
  <c r="CC599" i="1"/>
  <c r="CH599" i="1" s="1"/>
  <c r="AR599" i="1"/>
  <c r="AW599" i="1" s="1"/>
  <c r="AS599" i="1"/>
  <c r="CD599" i="1"/>
  <c r="AN601" i="1" l="1"/>
  <c r="AO601" i="1" s="1"/>
  <c r="BY600" i="1"/>
  <c r="BZ600" i="1" s="1"/>
  <c r="AR600" i="1"/>
  <c r="AW600" i="1" s="1"/>
  <c r="CC600" i="1"/>
  <c r="CH600" i="1" s="1"/>
  <c r="AS600" i="1"/>
  <c r="CD600" i="1"/>
  <c r="A602" i="1"/>
  <c r="C601" i="1"/>
  <c r="BY601" i="1" l="1"/>
  <c r="BZ601" i="1" s="1"/>
  <c r="AN602" i="1"/>
  <c r="AO602" i="1" s="1"/>
  <c r="AR601" i="1"/>
  <c r="AW601" i="1" s="1"/>
  <c r="CD601" i="1"/>
  <c r="CC601" i="1"/>
  <c r="CH601" i="1" s="1"/>
  <c r="AS601" i="1"/>
  <c r="C602" i="1"/>
  <c r="A603" i="1"/>
  <c r="A604" i="1" l="1"/>
  <c r="C603" i="1"/>
  <c r="BY602" i="1"/>
  <c r="BZ602" i="1" s="1"/>
  <c r="AN603" i="1"/>
  <c r="AO603" i="1" s="1"/>
  <c r="CC602" i="1"/>
  <c r="CH602" i="1" s="1"/>
  <c r="AS602" i="1"/>
  <c r="CD602" i="1"/>
  <c r="AR602" i="1"/>
  <c r="AW602" i="1" s="1"/>
  <c r="BY603" i="1" l="1"/>
  <c r="BZ603" i="1" s="1"/>
  <c r="AN604" i="1"/>
  <c r="AO604" i="1" s="1"/>
  <c r="CC603" i="1"/>
  <c r="CH603" i="1" s="1"/>
  <c r="CD603" i="1"/>
  <c r="AS603" i="1"/>
  <c r="AR603" i="1"/>
  <c r="AW603" i="1" s="1"/>
  <c r="C604" i="1"/>
  <c r="A605" i="1"/>
  <c r="A606" i="1" l="1"/>
  <c r="C605" i="1"/>
  <c r="BY604" i="1"/>
  <c r="BZ604" i="1" s="1"/>
  <c r="AN605" i="1"/>
  <c r="AO605" i="1" s="1"/>
  <c r="CD604" i="1"/>
  <c r="AR604" i="1"/>
  <c r="AW604" i="1" s="1"/>
  <c r="AS604" i="1"/>
  <c r="CC604" i="1"/>
  <c r="CH604" i="1" s="1"/>
  <c r="BY605" i="1" l="1"/>
  <c r="BZ605" i="1" s="1"/>
  <c r="AN606" i="1"/>
  <c r="AO606" i="1" s="1"/>
  <c r="AR605" i="1"/>
  <c r="AW605" i="1" s="1"/>
  <c r="CD605" i="1"/>
  <c r="AS605" i="1"/>
  <c r="CC605" i="1"/>
  <c r="CH605" i="1" s="1"/>
  <c r="C606" i="1"/>
  <c r="A607" i="1"/>
  <c r="A608" i="1" l="1"/>
  <c r="C607" i="1"/>
  <c r="BY606" i="1"/>
  <c r="BZ606" i="1" s="1"/>
  <c r="AN607" i="1"/>
  <c r="AO607" i="1" s="1"/>
  <c r="CC606" i="1"/>
  <c r="CH606" i="1" s="1"/>
  <c r="CD606" i="1"/>
  <c r="AR606" i="1"/>
  <c r="AW606" i="1" s="1"/>
  <c r="AS606" i="1"/>
  <c r="BY607" i="1" l="1"/>
  <c r="BZ607" i="1" s="1"/>
  <c r="AN608" i="1"/>
  <c r="AO608" i="1" s="1"/>
  <c r="CC607" i="1"/>
  <c r="CH607" i="1" s="1"/>
  <c r="AS607" i="1"/>
  <c r="CD607" i="1"/>
  <c r="AR607" i="1"/>
  <c r="AW607" i="1" s="1"/>
  <c r="C608" i="1"/>
  <c r="A609" i="1"/>
  <c r="A610" i="1" l="1"/>
  <c r="C609" i="1"/>
  <c r="BY608" i="1"/>
  <c r="BZ608" i="1" s="1"/>
  <c r="AN609" i="1"/>
  <c r="AO609" i="1" s="1"/>
  <c r="AR608" i="1"/>
  <c r="AW608" i="1" s="1"/>
  <c r="AS608" i="1"/>
  <c r="CC608" i="1"/>
  <c r="CH608" i="1" s="1"/>
  <c r="CD608" i="1"/>
  <c r="BY609" i="1" l="1"/>
  <c r="BZ609" i="1" s="1"/>
  <c r="AN610" i="1"/>
  <c r="AO610" i="1" s="1"/>
  <c r="CD609" i="1"/>
  <c r="AR609" i="1"/>
  <c r="AW609" i="1" s="1"/>
  <c r="CC609" i="1"/>
  <c r="CH609" i="1" s="1"/>
  <c r="AS609" i="1"/>
  <c r="C610" i="1"/>
  <c r="A611" i="1"/>
  <c r="A612" i="1" l="1"/>
  <c r="C611" i="1"/>
  <c r="BY610" i="1"/>
  <c r="BZ610" i="1" s="1"/>
  <c r="AN611" i="1"/>
  <c r="AO611" i="1" s="1"/>
  <c r="AR610" i="1"/>
  <c r="AW610" i="1" s="1"/>
  <c r="AS610" i="1"/>
  <c r="CC610" i="1"/>
  <c r="CH610" i="1" s="1"/>
  <c r="CD610" i="1"/>
  <c r="AN612" i="1" l="1"/>
  <c r="AO612" i="1" s="1"/>
  <c r="BY611" i="1"/>
  <c r="BZ611" i="1" s="1"/>
  <c r="CC611" i="1"/>
  <c r="CH611" i="1" s="1"/>
  <c r="CD611" i="1"/>
  <c r="AS611" i="1"/>
  <c r="AR611" i="1"/>
  <c r="AW611" i="1" s="1"/>
  <c r="C612" i="1"/>
  <c r="A613" i="1"/>
  <c r="A614" i="1" l="1"/>
  <c r="C613" i="1"/>
  <c r="AN613" i="1"/>
  <c r="AO613" i="1" s="1"/>
  <c r="BY612" i="1"/>
  <c r="BZ612" i="1" s="1"/>
  <c r="AR612" i="1"/>
  <c r="AW612" i="1" s="1"/>
  <c r="CD612" i="1"/>
  <c r="AS612" i="1"/>
  <c r="CC612" i="1"/>
  <c r="CH612" i="1" s="1"/>
  <c r="BY613" i="1" l="1"/>
  <c r="BZ613" i="1" s="1"/>
  <c r="AN614" i="1"/>
  <c r="AR613" i="1"/>
  <c r="AW613" i="1" s="1"/>
  <c r="CC613" i="1"/>
  <c r="CH613" i="1" s="1"/>
  <c r="CD613" i="1"/>
  <c r="AS613" i="1"/>
  <c r="C614" i="1"/>
  <c r="A615" i="1"/>
  <c r="AO614" i="1" l="1"/>
  <c r="AV613" i="1"/>
  <c r="AT613" i="1"/>
  <c r="A616" i="1"/>
  <c r="BY614" i="1"/>
  <c r="BZ614" i="1" s="1"/>
  <c r="AN615" i="1"/>
  <c r="AU615" i="1" s="1"/>
  <c r="CD614" i="1"/>
  <c r="CC614" i="1"/>
  <c r="CH614" i="1" s="1"/>
  <c r="AR614" i="1"/>
  <c r="AW614" i="1" s="1"/>
  <c r="AS614" i="1"/>
  <c r="AT614" i="1" l="1"/>
  <c r="AO615" i="1"/>
  <c r="AV614" i="1"/>
  <c r="AT615" i="1"/>
  <c r="AV615" i="1"/>
  <c r="BY615" i="1"/>
  <c r="BZ615" i="1" s="1"/>
  <c r="AN616" i="1"/>
  <c r="AO616" i="1" s="1"/>
  <c r="AS615" i="1"/>
  <c r="AR615" i="1"/>
  <c r="AW615" i="1" s="1"/>
  <c r="CC615" i="1"/>
  <c r="CH615" i="1" s="1"/>
  <c r="CD615" i="1"/>
  <c r="A617" i="1"/>
  <c r="A618" i="1" l="1"/>
  <c r="BY616" i="1"/>
  <c r="BZ616" i="1" s="1"/>
  <c r="CD616" i="1"/>
  <c r="AR616" i="1"/>
  <c r="AW616" i="1" s="1"/>
  <c r="CC616" i="1"/>
  <c r="CH616" i="1" s="1"/>
  <c r="AS616" i="1"/>
  <c r="BY617" i="1" l="1"/>
  <c r="BZ617" i="1" s="1"/>
  <c r="CC617" i="1"/>
  <c r="CH617" i="1" s="1"/>
  <c r="CD617" i="1"/>
  <c r="AS617" i="1"/>
  <c r="AR617" i="1"/>
  <c r="AW617" i="1" s="1"/>
  <c r="A619" i="1"/>
  <c r="A620" i="1" l="1"/>
  <c r="A621" i="1" l="1"/>
  <c r="A622" i="1" l="1"/>
  <c r="A623" i="1" l="1"/>
  <c r="A624" i="1" l="1"/>
  <c r="A625" i="1" l="1"/>
  <c r="A626" i="1" l="1"/>
</calcChain>
</file>

<file path=xl/comments1.xml><?xml version="1.0" encoding="utf-8"?>
<comments xmlns="http://schemas.openxmlformats.org/spreadsheetml/2006/main">
  <authors>
    <author>Ryzinska.Justyna</author>
    <author>Solecki.Marek</author>
    <author>Marek Sołecki</author>
  </authors>
  <commentList>
    <comment ref="D17" authorId="0">
      <text>
        <r>
          <rPr>
            <b/>
            <sz val="8"/>
            <color indexed="81"/>
            <rFont val="Tahoma"/>
            <family val="2"/>
            <charset val="238"/>
          </rPr>
          <t>Ryzinska.Justyna:
jakość uzupełniania nadawy, pomiar</t>
        </r>
      </text>
    </comment>
    <comment ref="D1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średnia w nadawie, obliczenia
</t>
        </r>
      </text>
    </comment>
    <comment ref="AL2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34 st</t>
        </r>
      </text>
    </comment>
    <comment ref="BW2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38,7st</t>
        </r>
      </text>
    </comment>
    <comment ref="AL2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35,4 st</t>
        </r>
      </text>
    </comment>
    <comment ref="BW2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48,5 st</t>
        </r>
      </text>
    </comment>
    <comment ref="AL3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31,8</t>
        </r>
      </text>
    </comment>
    <comment ref="BW3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44,5</t>
        </r>
      </text>
    </comment>
    <comment ref="AL3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34,6 st</t>
        </r>
      </text>
    </comment>
    <comment ref="BW3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50,5 st</t>
        </r>
      </text>
    </comment>
    <comment ref="AL3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34,5 st</t>
        </r>
      </text>
    </comment>
    <comment ref="BW3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wyswietlacz = 50,4 st</t>
        </r>
      </text>
    </comment>
    <comment ref="O4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dopełnienie o 14:30</t>
        </r>
      </text>
    </comment>
    <comment ref="O5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dopełnienie o 14:30</t>
        </r>
      </text>
    </comment>
    <comment ref="AL5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34,5</t>
        </r>
      </text>
    </comment>
    <comment ref="BW5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50,5</t>
        </r>
      </text>
    </comment>
    <comment ref="AL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wyświetlacz49,3</t>
        </r>
      </text>
    </comment>
    <comment ref="M5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18:35
</t>
        </r>
      </text>
    </comment>
    <comment ref="O5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dopełnienie o 18:35</t>
        </r>
      </text>
    </comment>
    <comment ref="O6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10:00</t>
        </r>
      </text>
    </comment>
    <comment ref="O6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18:20</t>
        </r>
      </text>
    </comment>
    <comment ref="AL6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6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wyświetlacz51,5
</t>
        </r>
      </text>
    </comment>
    <comment ref="O6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12:00
</t>
        </r>
      </text>
    </comment>
    <comment ref="AL6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O7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8:25
</t>
        </r>
      </text>
    </comment>
    <comment ref="AL7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H7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mala parownica, po rozpoczęciu mieszania 15 min</t>
        </r>
      </text>
    </comment>
    <comment ref="BW7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wyświetlacz50,6
</t>
        </r>
      </text>
    </comment>
    <comment ref="O7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12:30
</t>
        </r>
      </text>
    </comment>
    <comment ref="O7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10:00
</t>
        </r>
      </text>
    </comment>
    <comment ref="O7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uzupełnienie o godz. 14:30
</t>
        </r>
      </text>
    </comment>
    <comment ref="D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2,94</t>
        </r>
      </text>
    </comment>
    <comment ref="E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72,60</t>
        </r>
      </text>
    </comment>
    <comment ref="V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2,15</t>
        </r>
      </text>
    </comment>
    <comment ref="W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63.94</t>
        </r>
      </text>
    </comment>
    <comment ref="AL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G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2,26
</t>
        </r>
      </text>
    </comment>
    <comment ref="BH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61,39
</t>
        </r>
      </text>
    </comment>
    <comment ref="BW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wyświetlacz50,9
</t>
        </r>
      </text>
    </comment>
    <comment ref="M8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odczyt o 20:00
</t>
        </r>
      </text>
    </comment>
    <comment ref="AL8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8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</t>
        </r>
      </text>
    </comment>
    <comment ref="BW8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</t>
        </r>
      </text>
    </comment>
    <comment ref="D8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po uzupełnianiu zb.nadawy
</t>
        </r>
      </text>
    </comment>
    <comment ref="AL8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8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51,2
</t>
        </r>
      </text>
    </comment>
    <comment ref="N8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dopełnianie 13</t>
        </r>
      </text>
    </comment>
    <comment ref="D9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po 3 dniach bez uzupełniania
</t>
        </r>
      </text>
    </comment>
    <comment ref="AL9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9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</t>
        </r>
      </text>
    </comment>
    <comment ref="AL10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10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</t>
        </r>
      </text>
    </comment>
    <comment ref="D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
2,63
</t>
        </r>
      </text>
    </comment>
    <comment ref="E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76,50</t>
        </r>
      </text>
    </comment>
    <comment ref="V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sm-2,06</t>
        </r>
      </text>
    </comment>
    <comment ref="W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smo 63,61</t>
        </r>
      </text>
    </comment>
    <comment ref="AL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G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2,11</t>
        </r>
      </text>
    </comment>
    <comment ref="BH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61,97
</t>
        </r>
      </text>
    </comment>
    <comment ref="BW1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50,9
</t>
        </r>
      </text>
    </comment>
    <comment ref="S1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11:40</t>
        </r>
      </text>
    </comment>
    <comment ref="BD1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11:40
</t>
        </r>
      </text>
    </comment>
    <comment ref="M11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11:407:14</t>
        </r>
      </text>
    </comment>
    <comment ref="S11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7:14</t>
        </r>
      </text>
    </comment>
    <comment ref="AM11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tylko 17 dopełnien</t>
        </r>
      </text>
    </comment>
    <comment ref="BD11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7:14</t>
        </r>
      </text>
    </comment>
    <comment ref="BX11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brak dopełnień
</t>
        </r>
      </text>
    </comment>
    <comment ref="M11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19:30</t>
        </r>
      </text>
    </comment>
    <comment ref="S11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19:30</t>
        </r>
      </text>
    </comment>
    <comment ref="AM11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tylko 11 dopełnien</t>
        </r>
      </text>
    </comment>
    <comment ref="BD11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19:35</t>
        </r>
      </text>
    </comment>
    <comment ref="BX11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brak dopełnień
</t>
        </r>
      </text>
    </comment>
    <comment ref="M11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10:00</t>
        </r>
      </text>
    </comment>
    <comment ref="S11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10:00</t>
        </r>
      </text>
    </comment>
    <comment ref="AM11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tylko 15 dopełnien</t>
        </r>
      </text>
    </comment>
    <comment ref="BD11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10:00</t>
        </r>
      </text>
    </comment>
    <comment ref="M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10:20</t>
        </r>
      </text>
    </comment>
    <comment ref="V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oznaczenie 2.01</t>
        </r>
      </text>
    </comment>
    <comment ref="W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oznaczenie 03.01</t>
        </r>
      </text>
    </comment>
    <comment ref="AL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AM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19 dop</t>
        </r>
      </text>
    </comment>
    <comment ref="BD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10:20</t>
        </r>
      </text>
    </comment>
    <comment ref="BG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oznaczenie 2.01</t>
        </r>
      </text>
    </comment>
    <comment ref="BH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oznaczenie 03.01</t>
        </r>
      </text>
    </comment>
    <comment ref="BW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50,9
</t>
        </r>
      </text>
    </comment>
    <comment ref="BX11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12 dop
</t>
        </r>
      </text>
    </comment>
    <comment ref="M11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7:00</t>
        </r>
      </text>
    </comment>
    <comment ref="S11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7:00</t>
        </r>
      </text>
    </comment>
    <comment ref="AM11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27 dop</t>
        </r>
      </text>
    </comment>
    <comment ref="BD11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7:00</t>
        </r>
      </text>
    </comment>
    <comment ref="BX11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 dop
</t>
        </r>
      </text>
    </comment>
    <comment ref="M11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10:00</t>
        </r>
      </text>
    </comment>
    <comment ref="S11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10:00</t>
        </r>
      </text>
    </comment>
    <comment ref="BD11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10:00</t>
        </r>
      </text>
    </comment>
    <comment ref="BX11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15 dop
</t>
        </r>
      </text>
    </comment>
    <comment ref="M1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8:00</t>
        </r>
      </text>
    </comment>
    <comment ref="S1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8:00</t>
        </r>
      </text>
    </comment>
    <comment ref="AM1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18 dop</t>
        </r>
      </text>
    </comment>
    <comment ref="BD1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8:00</t>
        </r>
      </text>
    </comment>
    <comment ref="AM12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26 dop</t>
        </r>
      </text>
    </comment>
    <comment ref="BX12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9 dop</t>
        </r>
      </text>
    </comment>
    <comment ref="M12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6:45</t>
        </r>
      </text>
    </comment>
    <comment ref="S12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6:45</t>
        </r>
      </text>
    </comment>
    <comment ref="AM12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18 dop</t>
        </r>
      </text>
    </comment>
    <comment ref="BD12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6:45</t>
        </r>
      </text>
    </comment>
    <comment ref="S12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14:00</t>
        </r>
      </text>
    </comment>
    <comment ref="BD12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14:00</t>
        </r>
      </text>
    </comment>
    <comment ref="V12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suszenie cały weekend</t>
        </r>
      </text>
    </comment>
    <comment ref="AL12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G12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suszenie cały weekend</t>
        </r>
      </text>
    </comment>
    <comment ref="BW12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D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2,9</t>
        </r>
      </text>
    </comment>
    <comment ref="E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78,6</t>
        </r>
      </text>
    </comment>
    <comment ref="V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2,0</t>
        </r>
      </text>
    </comment>
    <comment ref="W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64,7</t>
        </r>
      </text>
    </comment>
    <comment ref="AL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G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2,0</t>
        </r>
      </text>
    </comment>
    <comment ref="BH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64,2</t>
        </r>
      </text>
    </comment>
    <comment ref="BW1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AM13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24</t>
        </r>
      </text>
    </comment>
    <comment ref="AM13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9</t>
        </r>
      </text>
    </comment>
    <comment ref="AM13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</t>
        </r>
      </text>
    </comment>
    <comment ref="AM13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2</t>
        </r>
      </text>
    </comment>
    <comment ref="AL13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13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AM14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22 dopełnienia</t>
        </r>
      </text>
    </comment>
    <comment ref="AM14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9 dopełnień</t>
        </r>
      </text>
    </comment>
    <comment ref="AL15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15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D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3,49</t>
        </r>
      </text>
    </comment>
    <comment ref="E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labo otwock 75,9</t>
        </r>
      </text>
    </comment>
    <comment ref="V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otwock 2,2</t>
        </r>
      </text>
    </comment>
    <comment ref="W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otwock 67,4</t>
        </r>
      </text>
    </comment>
    <comment ref="AL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G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owock 2,2</t>
        </r>
      </text>
    </comment>
    <comment ref="BH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instal 67,66
</t>
        </r>
      </text>
    </comment>
    <comment ref="BW15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AM161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12</t>
        </r>
      </text>
    </comment>
    <comment ref="AL16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16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AL1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</t>
        </r>
      </text>
    </comment>
    <comment ref="BW17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AL18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35,7
</t>
        </r>
      </text>
    </comment>
    <comment ref="BW18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
</t>
        </r>
      </text>
    </comment>
    <comment ref="AL19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35,7
</t>
        </r>
      </text>
    </comment>
    <comment ref="BW190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
</t>
        </r>
      </text>
    </comment>
    <comment ref="AL19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35,7
</t>
        </r>
      </text>
    </comment>
    <comment ref="BW19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
</t>
        </r>
      </text>
    </comment>
    <comment ref="D19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pobrane z enzymani</t>
        </r>
      </text>
    </comment>
    <comment ref="D20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enz. 2,43%, ale koniec pompowania</t>
        </r>
      </text>
    </comment>
    <comment ref="E20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enz. 74,853%, ale koniec pompowania</t>
        </r>
      </text>
    </comment>
    <comment ref="AL20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35,7
</t>
        </r>
      </text>
    </comment>
    <comment ref="BW204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
</t>
        </r>
      </text>
    </comment>
    <comment ref="D2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
 z przeliczeń (5% enz) sm =3,52%</t>
        </r>
      </text>
    </comment>
    <comment ref="E2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
 z przeliczeń (5% enz) smo =75,26%</t>
        </r>
      </text>
    </comment>
    <comment ref="P20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za mało wsypane do pojemnika
</t>
        </r>
      </text>
    </comment>
    <comment ref="D2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
 z przeliczeń (5% enz) sm =3,26%</t>
        </r>
      </text>
    </comment>
    <comment ref="E2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
z przeliczeń (5% enz) smo =75,78%</t>
        </r>
      </text>
    </comment>
    <comment ref="G2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
</t>
        </r>
      </text>
    </comment>
    <comment ref="AL2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35,7
</t>
        </r>
      </text>
    </comment>
    <comment ref="BW21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51,1
</t>
        </r>
      </text>
    </comment>
    <comment ref="D213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enzymów</t>
        </r>
      </text>
    </comment>
    <comment ref="D2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3,42 = bez enzymów
pomiar z enzymami = 3,35% (pobierane w czasie pompownia)</t>
        </r>
      </text>
    </comment>
    <comment ref="E2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78,36 = bez enzymów
pomiar z enzymami = 77,9% (pobierane w czasie pompownia)</t>
        </r>
      </text>
    </comment>
    <comment ref="G2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enzymami=6,11
</t>
        </r>
      </text>
    </comment>
    <comment ref="AL2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35,7
</t>
        </r>
      </text>
    </comment>
    <comment ref="BW219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51
</t>
        </r>
      </text>
    </comment>
    <comment ref="D22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
</t>
        </r>
      </text>
    </comment>
    <comment ref="E22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</t>
        </r>
      </text>
    </comment>
    <comment ref="AL22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
</t>
        </r>
      </text>
    </comment>
    <comment ref="BW225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50,9
</t>
        </r>
      </text>
    </comment>
    <comment ref="D227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enzymów</t>
        </r>
      </text>
    </comment>
    <comment ref="D23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enzymów</t>
        </r>
      </text>
    </comment>
    <comment ref="E23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enzymów</t>
        </r>
      </text>
    </comment>
    <comment ref="G232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5,70 z enzymami</t>
        </r>
      </text>
    </comment>
    <comment ref="AL23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
</t>
        </r>
      </text>
    </comment>
    <comment ref="BW232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50,9
</t>
        </r>
      </text>
    </comment>
    <comment ref="D23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</t>
        </r>
      </text>
    </comment>
    <comment ref="E23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z enzymami</t>
        </r>
      </text>
    </comment>
    <comment ref="AL23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
</t>
        </r>
      </text>
    </comment>
    <comment ref="BW23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50,9
</t>
        </r>
      </text>
    </comment>
    <comment ref="D24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bez enzymów</t>
        </r>
      </text>
    </comment>
    <comment ref="G24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6,29 z enzymami</t>
        </r>
      </text>
    </comment>
    <comment ref="AL24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35,6
</t>
        </r>
      </text>
    </comment>
    <comment ref="BW246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wyświetlacz 50,9
</t>
        </r>
      </text>
    </comment>
    <comment ref="P248" authorId="1">
      <text>
        <r>
          <rPr>
            <b/>
            <sz val="8"/>
            <color indexed="81"/>
            <rFont val="Tahoma"/>
            <family val="2"/>
            <charset val="238"/>
          </rPr>
          <t>w dzienniku poprawiono 10 na 30, ale pojemniki wskazuja na to ze wsypano 10</t>
        </r>
      </text>
    </comment>
    <comment ref="P254" authorId="1">
      <text>
        <r>
          <rPr>
            <b/>
            <sz val="8"/>
            <color indexed="81"/>
            <rFont val="Tahoma"/>
            <family val="2"/>
            <charset val="238"/>
          </rPr>
          <t>enzymy dosypane dopiero dzien po dolaniu osadu do zb.nadawy</t>
        </r>
      </text>
    </comment>
    <comment ref="AL25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wyswietlacz 35,7
</t>
        </r>
      </text>
    </comment>
    <comment ref="BW25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wyswietlacz 51,1
</t>
        </r>
      </text>
    </comment>
    <comment ref="N261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DOLANO PO POŁUDNIU
</t>
        </r>
      </text>
    </comment>
    <comment ref="AL261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35,8 rejestrator</t>
        </r>
      </text>
    </comment>
    <comment ref="BW261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51,1 rejestrator
</t>
        </r>
      </text>
    </comment>
    <comment ref="AL268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REJESTRATOR 35,7</t>
        </r>
      </text>
    </comment>
    <comment ref="BW268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51,1 REJESTRATOR</t>
        </r>
      </text>
    </comment>
    <comment ref="D27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3,54 z enzymami</t>
        </r>
      </text>
    </comment>
    <comment ref="E27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74,80 z enzymami</t>
        </r>
      </text>
    </comment>
    <comment ref="P27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wcześniej wrzucono 280g starych enzymów przez pracownika stacji</t>
        </r>
      </text>
    </comment>
    <comment ref="D27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3,6 w laboratorium</t>
        </r>
      </text>
    </comment>
    <comment ref="E27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74,1 w laboratorium</t>
        </r>
      </text>
    </comment>
    <comment ref="V27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2,3 w laboratorium</t>
        </r>
      </text>
    </comment>
    <comment ref="W27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64,2 w laboratorium</t>
        </r>
      </text>
    </comment>
    <comment ref="BG27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2,2 w laboratorium</t>
        </r>
      </text>
    </comment>
    <comment ref="BH276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63,8 w laoratorium</t>
        </r>
      </text>
    </comment>
    <comment ref="AL315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35,4 temp.rejestratora
</t>
        </r>
      </text>
    </comment>
    <comment ref="BW315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50,6 temp .rejesratora
</t>
        </r>
      </text>
    </comment>
    <comment ref="AL337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Temp.rejestratora 35,4</t>
        </r>
      </text>
    </comment>
    <comment ref="BW337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Temp.rejestratora 50,5</t>
        </r>
      </text>
    </comment>
    <comment ref="AL34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Temp.rejestratora 35,3</t>
        </r>
      </text>
    </comment>
    <comment ref="AL36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Trejestrator 34,3</t>
        </r>
      </text>
    </comment>
    <comment ref="BW364" authorId="1">
      <text>
        <r>
          <rPr>
            <b/>
            <sz val="8"/>
            <color indexed="81"/>
            <rFont val="Tahoma"/>
            <family val="2"/>
            <charset val="238"/>
          </rPr>
          <t>Solecki.Marek:</t>
        </r>
        <r>
          <rPr>
            <sz val="8"/>
            <color indexed="81"/>
            <rFont val="Tahoma"/>
            <family val="2"/>
            <charset val="238"/>
          </rPr>
          <t xml:space="preserve">
Trejestrator 50,5</t>
        </r>
      </text>
    </comment>
    <comment ref="AL407" authorId="2">
      <text>
        <r>
          <rPr>
            <b/>
            <sz val="9"/>
            <color indexed="81"/>
            <rFont val="Tahoma"/>
            <family val="2"/>
            <charset val="238"/>
          </rPr>
          <t>35,2 rejestrator</t>
        </r>
      </text>
    </comment>
    <comment ref="BW407" authorId="2">
      <text>
        <r>
          <rPr>
            <b/>
            <sz val="9"/>
            <color indexed="81"/>
            <rFont val="Tahoma"/>
            <family val="2"/>
            <charset val="238"/>
          </rPr>
          <t>50,7 rejestrator</t>
        </r>
      </text>
    </comment>
    <comment ref="AL414" authorId="2">
      <text>
        <r>
          <rPr>
            <b/>
            <sz val="9"/>
            <color indexed="81"/>
            <rFont val="Tahoma"/>
            <family val="2"/>
            <charset val="238"/>
          </rPr>
          <t>35,4 rejestrator</t>
        </r>
      </text>
    </comment>
    <comment ref="BW414" authorId="2">
      <text>
        <r>
          <rPr>
            <b/>
            <sz val="9"/>
            <color indexed="81"/>
            <rFont val="Tahoma"/>
            <family val="2"/>
            <charset val="238"/>
          </rPr>
          <t>50,5 rejestrator</t>
        </r>
      </text>
    </comment>
    <comment ref="D422" authorId="2">
      <text>
        <r>
          <rPr>
            <b/>
            <sz val="9"/>
            <color indexed="81"/>
            <rFont val="Tahoma"/>
            <family val="2"/>
            <charset val="238"/>
          </rPr>
          <t>OPWIK 3,4%</t>
        </r>
      </text>
    </comment>
    <comment ref="E422" authorId="2">
      <text>
        <r>
          <rPr>
            <b/>
            <sz val="9"/>
            <color indexed="81"/>
            <rFont val="Tahoma"/>
            <family val="2"/>
            <charset val="238"/>
          </rPr>
          <t>OPWIK 75,3</t>
        </r>
      </text>
    </comment>
    <comment ref="V422" authorId="2">
      <text>
        <r>
          <rPr>
            <b/>
            <sz val="9"/>
            <color indexed="81"/>
            <rFont val="Tahoma"/>
            <family val="2"/>
            <charset val="238"/>
          </rPr>
          <t>OPWIK 2,5%</t>
        </r>
      </text>
    </comment>
    <comment ref="W422" authorId="2">
      <text>
        <r>
          <rPr>
            <b/>
            <sz val="9"/>
            <color indexed="81"/>
            <rFont val="Tahoma"/>
            <family val="2"/>
            <charset val="238"/>
          </rPr>
          <t>OPWIK 65,2</t>
        </r>
      </text>
    </comment>
    <comment ref="AL422" authorId="2">
      <text>
        <r>
          <rPr>
            <b/>
            <sz val="9"/>
            <color indexed="81"/>
            <rFont val="Tahoma"/>
            <family val="2"/>
            <charset val="238"/>
          </rPr>
          <t>35,5 rejestrator</t>
        </r>
      </text>
    </comment>
    <comment ref="BG422" authorId="2">
      <text>
        <r>
          <rPr>
            <b/>
            <sz val="9"/>
            <color indexed="81"/>
            <rFont val="Tahoma"/>
            <family val="2"/>
            <charset val="238"/>
          </rPr>
          <t>OPWIK 2,7%</t>
        </r>
      </text>
    </comment>
    <comment ref="BH422" authorId="2">
      <text>
        <r>
          <rPr>
            <b/>
            <sz val="9"/>
            <color indexed="81"/>
            <rFont val="Tahoma"/>
            <family val="2"/>
            <charset val="238"/>
          </rPr>
          <t>OPWIK 61,3</t>
        </r>
      </text>
    </comment>
    <comment ref="BW422" authorId="2">
      <text>
        <r>
          <rPr>
            <b/>
            <sz val="9"/>
            <color indexed="81"/>
            <rFont val="Tahoma"/>
            <family val="2"/>
            <charset val="238"/>
          </rPr>
          <t>50,9 rejestrator</t>
        </r>
      </text>
    </comment>
    <comment ref="AL428" authorId="2">
      <text>
        <r>
          <rPr>
            <b/>
            <sz val="9"/>
            <color indexed="81"/>
            <rFont val="Tahoma"/>
            <family val="2"/>
            <charset val="238"/>
          </rPr>
          <t>35,0 rejestrator</t>
        </r>
      </text>
    </comment>
    <comment ref="BW428" authorId="2">
      <text>
        <r>
          <rPr>
            <b/>
            <sz val="9"/>
            <color indexed="81"/>
            <rFont val="Tahoma"/>
            <family val="2"/>
            <charset val="238"/>
          </rPr>
          <t>50,6 rejestrator</t>
        </r>
      </text>
    </comment>
    <comment ref="AL434" authorId="2">
      <text>
        <r>
          <rPr>
            <b/>
            <sz val="9"/>
            <color indexed="81"/>
            <rFont val="Tahoma"/>
            <family val="2"/>
            <charset val="238"/>
          </rPr>
          <t>35,1 rejestrator</t>
        </r>
      </text>
    </comment>
    <comment ref="BW434" authorId="2">
      <text>
        <r>
          <rPr>
            <b/>
            <sz val="9"/>
            <color indexed="81"/>
            <rFont val="Tahoma"/>
            <family val="2"/>
            <charset val="238"/>
          </rPr>
          <t>50,5 rejestrator</t>
        </r>
      </text>
    </comment>
    <comment ref="AL486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35,2 rejestrator
</t>
        </r>
      </text>
    </comment>
    <comment ref="BW486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50,6 rejestrator
</t>
        </r>
      </text>
    </comment>
    <comment ref="D598" authorId="0">
      <text>
        <r>
          <rPr>
            <b/>
            <sz val="8"/>
            <color indexed="81"/>
            <rFont val="Tahoma"/>
            <family val="2"/>
            <charset val="238"/>
          </rPr>
          <t>Ryzinska.Justyna:</t>
        </r>
        <r>
          <rPr>
            <sz val="8"/>
            <color indexed="81"/>
            <rFont val="Tahoma"/>
            <family val="2"/>
            <charset val="238"/>
          </rPr>
          <t xml:space="preserve">
końcówka zbiornika, przed dopełnieniem</t>
        </r>
      </text>
    </comment>
  </commentList>
</comments>
</file>

<file path=xl/comments2.xml><?xml version="1.0" encoding="utf-8"?>
<comments xmlns="http://schemas.openxmlformats.org/spreadsheetml/2006/main">
  <authors>
    <author>Marek Sołecki</author>
  </authors>
  <commentList>
    <comment ref="L9" authorId="0">
      <text>
        <r>
          <rPr>
            <b/>
            <sz val="9"/>
            <color indexed="81"/>
            <rFont val="Tahoma"/>
            <family val="2"/>
            <charset val="238"/>
          </rPr>
          <t>OPWIK 2,5%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38"/>
          </rPr>
          <t>OPWIK 65,2</t>
        </r>
      </text>
    </comment>
    <comment ref="X9" authorId="0">
      <text>
        <r>
          <rPr>
            <b/>
            <sz val="9"/>
            <color indexed="81"/>
            <rFont val="Tahoma"/>
            <family val="2"/>
            <charset val="238"/>
          </rPr>
          <t>OPWIK 2,7%</t>
        </r>
      </text>
    </comment>
    <comment ref="Y9" authorId="0">
      <text>
        <r>
          <rPr>
            <b/>
            <sz val="9"/>
            <color indexed="81"/>
            <rFont val="Tahoma"/>
            <family val="2"/>
            <charset val="238"/>
          </rPr>
          <t>OPWIK 61,3</t>
        </r>
      </text>
    </comment>
  </commentList>
</comments>
</file>

<file path=xl/comments3.xml><?xml version="1.0" encoding="utf-8"?>
<comments xmlns="http://schemas.openxmlformats.org/spreadsheetml/2006/main">
  <authors>
    <author>Marek Sołecki</author>
  </authors>
  <commentLis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OPWIK 2,5%</t>
        </r>
      </text>
    </comment>
    <comment ref="M20" authorId="0">
      <text>
        <r>
          <rPr>
            <b/>
            <sz val="9"/>
            <color indexed="81"/>
            <rFont val="Tahoma"/>
            <family val="2"/>
            <charset val="238"/>
          </rPr>
          <t>OPWIK 65,2</t>
        </r>
      </text>
    </comment>
    <comment ref="X20" authorId="0">
      <text>
        <r>
          <rPr>
            <b/>
            <sz val="9"/>
            <color indexed="81"/>
            <rFont val="Tahoma"/>
            <family val="2"/>
            <charset val="238"/>
          </rPr>
          <t>OPWIK 2,7%</t>
        </r>
      </text>
    </comment>
    <comment ref="Y20" authorId="0">
      <text>
        <r>
          <rPr>
            <b/>
            <sz val="9"/>
            <color indexed="81"/>
            <rFont val="Tahoma"/>
            <family val="2"/>
            <charset val="238"/>
          </rPr>
          <t>OPWIK 61,3</t>
        </r>
      </text>
    </comment>
  </commentList>
</comments>
</file>

<file path=xl/sharedStrings.xml><?xml version="1.0" encoding="utf-8"?>
<sst xmlns="http://schemas.openxmlformats.org/spreadsheetml/2006/main" count="914" uniqueCount="196">
  <si>
    <t>1cm</t>
  </si>
  <si>
    <t>g</t>
  </si>
  <si>
    <t>zb.kon</t>
  </si>
  <si>
    <t>l/cm</t>
  </si>
  <si>
    <t>l/cykl</t>
  </si>
  <si>
    <t>l/1cykl</t>
  </si>
  <si>
    <t>l</t>
  </si>
  <si>
    <t>MEZOFILOWY</t>
  </si>
  <si>
    <t>TERMOFILOWY</t>
  </si>
  <si>
    <t>DATA</t>
  </si>
  <si>
    <t>Godzina</t>
  </si>
  <si>
    <t>OSAD ZE ZB.NADAWY</t>
  </si>
  <si>
    <t>stan zb. nadawy</t>
  </si>
  <si>
    <t>wydajność</t>
  </si>
  <si>
    <t>zb. końcowy</t>
  </si>
  <si>
    <t>OSAD ZE ZB.KOŃCOWEGO ZBIORNIK MEZOFILOWY</t>
  </si>
  <si>
    <t>INFORMACJE OD OBSLUGI</t>
  </si>
  <si>
    <t>zb.końcowy</t>
  </si>
  <si>
    <t>OSAD ZE ZB.KOŃCOWEGO ZBIORNIK TERMOFILOWY</t>
  </si>
  <si>
    <t>ilośc godzin</t>
  </si>
  <si>
    <t>OSAD</t>
  </si>
  <si>
    <t>dawka enzymów</t>
  </si>
  <si>
    <t>WKF</t>
  </si>
  <si>
    <t>Wydajność</t>
  </si>
  <si>
    <t>Ilość impulsów</t>
  </si>
  <si>
    <t>Ilość wydzielonego biogazu</t>
  </si>
  <si>
    <t>Wskaźnik produkcji biogazu</t>
  </si>
  <si>
    <t>Skład biogazu</t>
  </si>
  <si>
    <t>UWAGI</t>
  </si>
  <si>
    <t>s.m.</t>
  </si>
  <si>
    <t>s.m.o</t>
  </si>
  <si>
    <t xml:space="preserve">ChZT </t>
  </si>
  <si>
    <t>pH</t>
  </si>
  <si>
    <t>Pog</t>
  </si>
  <si>
    <t>ChZT</t>
  </si>
  <si>
    <t>N-NH4</t>
  </si>
  <si>
    <t>wagowo</t>
  </si>
  <si>
    <t>redukcja sm</t>
  </si>
  <si>
    <t>redukcja smo</t>
  </si>
  <si>
    <t>T</t>
  </si>
  <si>
    <t>nadawa</t>
  </si>
  <si>
    <t>CH4</t>
  </si>
  <si>
    <t>CO2</t>
  </si>
  <si>
    <t>O2</t>
  </si>
  <si>
    <t>H2</t>
  </si>
  <si>
    <t>H2S</t>
  </si>
  <si>
    <t>końcowe</t>
  </si>
  <si>
    <t>%</t>
  </si>
  <si>
    <t>%s.m.</t>
  </si>
  <si>
    <t>mgO2/l</t>
  </si>
  <si>
    <t>-</t>
  </si>
  <si>
    <t>mg/l</t>
  </si>
  <si>
    <t>l/h</t>
  </si>
  <si>
    <t>g/l</t>
  </si>
  <si>
    <t>%sm</t>
  </si>
  <si>
    <t>% s.m.o.</t>
  </si>
  <si>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C</t>
    </r>
  </si>
  <si>
    <t>l/d</t>
  </si>
  <si>
    <t>l/kg smo wpr</t>
  </si>
  <si>
    <t>l/kgsmo us</t>
  </si>
  <si>
    <t>l/kg sm</t>
  </si>
  <si>
    <t>ppm</t>
  </si>
  <si>
    <t xml:space="preserve">l/kg sm </t>
  </si>
  <si>
    <t>BEZ ENZYMÓW</t>
  </si>
  <si>
    <t>min</t>
  </si>
  <si>
    <t>średnia</t>
  </si>
  <si>
    <t>max</t>
  </si>
  <si>
    <t>Z ENZYMAMI</t>
  </si>
  <si>
    <t>Rzecz, nadawa</t>
  </si>
  <si>
    <t>sr</t>
  </si>
  <si>
    <t>Z ENZYMAMI  - MROZY!!!</t>
  </si>
  <si>
    <t>większa wydajność</t>
  </si>
  <si>
    <t>mniejsza wydajność</t>
  </si>
  <si>
    <t>OCZYSZCZALNIA ŚCIEKÓW W OTWOCKU</t>
  </si>
  <si>
    <t>przed</t>
  </si>
  <si>
    <t>po</t>
  </si>
  <si>
    <t>l/s</t>
  </si>
  <si>
    <t>napełnienie WKF, włączenie grzania</t>
  </si>
  <si>
    <t xml:space="preserve">przed </t>
  </si>
  <si>
    <t xml:space="preserve">po </t>
  </si>
  <si>
    <t>Licznik dopełnień</t>
  </si>
  <si>
    <t>HRT</t>
  </si>
  <si>
    <t>zmniejszenie obrotów pompy z 50 do 35HZ</t>
  </si>
  <si>
    <t>przepalony bezpiecznik dla zaworów pneumatycznych, wyłączenie systemu</t>
  </si>
  <si>
    <t>godz. 16.30 zanik napięcia</t>
  </si>
  <si>
    <t>godz. 8 zanik napięcia</t>
  </si>
  <si>
    <t>spuszczenie zbiornika, ponowne napełnienie, zmiana lokalizacji manometru i odpowietrznika</t>
  </si>
  <si>
    <t>OSAD SUROWY</t>
  </si>
  <si>
    <t>REDUKCJE</t>
  </si>
  <si>
    <t>sm</t>
  </si>
  <si>
    <t>smo</t>
  </si>
  <si>
    <t>MEZO</t>
  </si>
  <si>
    <t>włączono dozowanie osadu, zwiększono obory mieszadła z 15 do 20 Hz</t>
  </si>
  <si>
    <t>brak dopływu - rozregulowany czujnik poziomu</t>
  </si>
  <si>
    <t>na czerwono - labo INSTAL</t>
  </si>
  <si>
    <t>na czerwono - pomiary ręczne</t>
  </si>
  <si>
    <t>zacięcie czujnika w zbiorniku pomiarowym, przepłukanie</t>
  </si>
  <si>
    <t>skrócenie przewodów gazu między WKF a zb.pomiarowy</t>
  </si>
  <si>
    <t>zwiększono obroty mieszadła z 15 do 20 Hz</t>
  </si>
  <si>
    <t>WODA OSADOWA</t>
  </si>
  <si>
    <t>m3/m3*d</t>
  </si>
  <si>
    <t>uzupełniono wodę w obiegu grzewczym TERMO</t>
  </si>
  <si>
    <t>uzupełniono wodę w obiegu grzewczym TERMO; czyszczono czujnik w zbiorniku pomiarowym, do 8:00 ) dopełnień</t>
  </si>
  <si>
    <t>LKT</t>
  </si>
  <si>
    <t>zasad</t>
  </si>
  <si>
    <t>mval/l</t>
  </si>
  <si>
    <t>BRAK ZASILANIA 2140 -22.40</t>
  </si>
  <si>
    <t>Włączenie poprawnych ustawiemn szafy 15:30</t>
  </si>
  <si>
    <t>AWARIA MIESZADŁA, brak mieszania</t>
  </si>
  <si>
    <t>TERMO</t>
  </si>
  <si>
    <t>WYMIANA REDUKTORA I SILNIKA</t>
  </si>
  <si>
    <t>Mieszadło praca na 10 hz th. 27 obr/min</t>
  </si>
  <si>
    <t>?</t>
  </si>
  <si>
    <t>wymiana reduktora na 1:30 oraz silnika na 900 obr/min</t>
  </si>
  <si>
    <t>brak mieszania i podawania osadu do obu ciągów przez ok.. 2 godziny</t>
  </si>
  <si>
    <t>zapchana pompa nadawy i wąż, oczyszczono pompę, nadal brak dopływu</t>
  </si>
  <si>
    <t>przepchanie przewodu tłocznego, nadal brak dopływu</t>
  </si>
  <si>
    <t>brak dopływu od godz. 13</t>
  </si>
  <si>
    <t>pompy zastępcze od godz. 13</t>
  </si>
  <si>
    <t xml:space="preserve">awaria pompy nadawy, brak dopływu, </t>
  </si>
  <si>
    <t>pompy .zastępcze od godz. 13</t>
  </si>
  <si>
    <t>pompa próżniowa nie ma siły podciągnąć glikolu -zamrożenie na dachu?</t>
  </si>
  <si>
    <t>zwiększenie czasu zatrzymania (z 20 do 16 impuslów)</t>
  </si>
  <si>
    <t>wyczyszczenie zbiornika nadawy</t>
  </si>
  <si>
    <t>zapchanie pompy termo, brak podawania</t>
  </si>
  <si>
    <t>brak wyrzutu biogazu z kolumny -zamarznięcie wylotu</t>
  </si>
  <si>
    <t>wyrzut glikolu przez kolumnę, przypadkowe przesatwienie w opcję ręka</t>
  </si>
  <si>
    <t>przepłukanie pomp, brak podawania</t>
  </si>
  <si>
    <t>czyszczenie pompy, zdjęcie obudowy</t>
  </si>
  <si>
    <t>zasadowość</t>
  </si>
  <si>
    <t>śr</t>
  </si>
  <si>
    <t>brak dozowania, zapchana pompa</t>
  </si>
  <si>
    <t>wymiana reduktora, wymiana pomp</t>
  </si>
  <si>
    <t>włączenie pomp nadawy</t>
  </si>
  <si>
    <t>wymiana pomp nadawy</t>
  </si>
  <si>
    <t>przepłukanie pompy, brak dopływu</t>
  </si>
  <si>
    <t>przepłukanie tłocznego, brak dopływu</t>
  </si>
  <si>
    <t>wymiana pomp, dolanie 342 l doasu świeżego, uzup. zamknięcie hydrauliczne, czyszczono czujniki poziomu, w kolumnie biogazu nie działał górny czujnik</t>
  </si>
  <si>
    <t>wymiana pomp, dolanie 312 l doasu świeżego, uzup. zamknięcie hydrauliczne, czyszczono czujniki poziomu</t>
  </si>
  <si>
    <t>czyszczenie pompy</t>
  </si>
  <si>
    <t>czyszczenie czujnika</t>
  </si>
  <si>
    <t>czyszczenie czujnika i zbiorników końcowych</t>
  </si>
  <si>
    <t>czyszczenie zniornika nadawy, czyszczenie pomp</t>
  </si>
  <si>
    <t>CZYSZCZENIE ZBIORNIKA NADAWY, CZYSZCZENIE POMPY</t>
  </si>
  <si>
    <t>dopełnienie obiegu grzewczego, rozpoczęcie dawkowania enzymów</t>
  </si>
  <si>
    <t>DAWKOWANIE ENZYMÓW</t>
  </si>
  <si>
    <t>czyszczenie pomp</t>
  </si>
  <si>
    <t>czyszczenie czujnika poziomu</t>
  </si>
  <si>
    <t>spust zbiornika końcowego, mycie zbiornika nadawy</t>
  </si>
  <si>
    <t>1 cm</t>
  </si>
  <si>
    <t>spust ze zbiornika końcowego</t>
  </si>
  <si>
    <t>ZWIĘKSZENIE DAWKI ENZYMÓW DO OK.. 8%</t>
  </si>
  <si>
    <t>czyszczenie pomp , spust zb.koncowych</t>
  </si>
  <si>
    <t>zapchana pompa, czyszczenie +czujnik</t>
  </si>
  <si>
    <t>SPUST Z.K.TERMO</t>
  </si>
  <si>
    <t>BRAK PRĄDU-RESET URZĄDZEŃ</t>
  </si>
  <si>
    <t>na cały</t>
  </si>
  <si>
    <t>spr.czy nie było przerwy w dostawie prądu</t>
  </si>
  <si>
    <t>wymiana enzymów na nowe (uwodnione - SM enzymów poniżej 50%)</t>
  </si>
  <si>
    <t>1. brak dozowania od godz 10, 2. powodem czujniki, 3. zalecenie-umycie zbiorniczków dozjących</t>
  </si>
  <si>
    <t>brak prądu (reset liczników)</t>
  </si>
  <si>
    <t>czyszczenie czujnika, kalibracja wysokości i ilości w zbiorniku pomiarowym</t>
  </si>
  <si>
    <t>czyszczenie czujnika, kalibracja wysokości i ilości w zbiorniku pomiarowym, 10 impuslów związanych z kalibracją</t>
  </si>
  <si>
    <t>30.4</t>
  </si>
  <si>
    <t>przygotowane dawki enzymów są bez amylaz</t>
  </si>
  <si>
    <t>czyszczenie czujników w zbiornikach pomiarowych mezo. i termo.</t>
  </si>
  <si>
    <t>czyszczenie czujników w zbiornikach pomiarowych mezo</t>
  </si>
  <si>
    <t>KONIEC DOZOWANIA ENZYMÓW</t>
  </si>
  <si>
    <t>poprawienie usytuowania przewodów odprowadzających biogaz w zb.MEZO i TERMO</t>
  </si>
  <si>
    <t>ZRESETOWANIE SZAFY, PRACOWNIK OPWIK WYŁĄCZYŁ ZASILANIE PRZEZ POMYŁKĘ</t>
  </si>
  <si>
    <t>czyszczenie sondy MEZO</t>
  </si>
  <si>
    <t>czyszczenie pompy nadawy, pompy termo i zbiornika nadawy</t>
  </si>
  <si>
    <t>czyszczenie zb.pomiarowych</t>
  </si>
  <si>
    <t>czyszczenie pomp??</t>
  </si>
  <si>
    <t>czyszczenie pompy nadawy</t>
  </si>
  <si>
    <t>czyszczenie zb.nadawy, czyszczenie pomp termo i mezo.</t>
  </si>
  <si>
    <t>czyszczenie zb.pomoarowych, czyszczenie pompy termo</t>
  </si>
  <si>
    <t>mycie insstalacji, zanieczyszczone zawory dopustowe mezo???</t>
  </si>
  <si>
    <t>czyszczenie sondy mezo</t>
  </si>
  <si>
    <t>zanik prądu ok.. 10</t>
  </si>
  <si>
    <t>wyłączenie pompy</t>
  </si>
  <si>
    <t>wymiana pompy</t>
  </si>
  <si>
    <t>zatrzymanie pompy</t>
  </si>
  <si>
    <t>rozpoczęcie dozowania enzymów</t>
  </si>
  <si>
    <t>wymiana statorów pomp nadawy</t>
  </si>
  <si>
    <t>pompa próżniowa odłączona od kolumy</t>
  </si>
  <si>
    <t>podłączona pompa do kolumy</t>
  </si>
  <si>
    <t>NR ETAPU</t>
  </si>
  <si>
    <t>OSAD ZE ZBIORNIKA NADAWY</t>
  </si>
  <si>
    <t>bez enzymów I</t>
  </si>
  <si>
    <t>enzymy 20%</t>
  </si>
  <si>
    <t>bez enzymów II</t>
  </si>
  <si>
    <t>6.4.2014-23.05.2014</t>
  </si>
  <si>
    <t>16.10.2013-5.04.2014</t>
  </si>
  <si>
    <t>24.5.2014-19.08.2014</t>
  </si>
  <si>
    <t>16.10.2013-19.08.2014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</si>
</sst>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#,##0.0"/>
    <numFmt numFmtId="166" formatCode="0.000"/>
    <numFmt numFmtId="167" formatCode="_-* #,##0\ _z_ł_-;\-* #,##0\ _z_ł_-;_-* &quot;-&quot;??\ _z_ł_-;_-@_-"/>
  </numFmts>
  <fonts count="35">
    <font>
      <sz val="11"/>
      <color theme="1"/>
      <name val="Czcionka tekstu podstawowego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name val="Arial"/>
      <family val="2"/>
      <charset val="238"/>
    </font>
    <font>
      <i/>
      <sz val="11"/>
      <color indexed="55"/>
      <name val="Arial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3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Czcionka tekstu podstawowego"/>
      <family val="2"/>
      <charset val="238"/>
    </font>
    <font>
      <i/>
      <sz val="11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9" tint="-0.249977111117893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alibri"/>
      <family val="2"/>
      <charset val="238"/>
    </font>
    <font>
      <i/>
      <sz val="11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zcionka tekstu podstawowego"/>
      <charset val="238"/>
    </font>
    <font>
      <b/>
      <sz val="10"/>
      <color indexed="8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1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/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Dot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medium">
        <color indexed="64"/>
      </right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  <border>
      <left/>
      <right style="medium">
        <color indexed="64"/>
      </right>
      <top style="mediumDashDotDot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2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0" fillId="4" borderId="0" xfId="0" applyFill="1"/>
    <xf numFmtId="4" fontId="5" fillId="0" borderId="9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4" fontId="5" fillId="0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horizontal="center" vertical="center"/>
    </xf>
    <xf numFmtId="4" fontId="5" fillId="0" borderId="31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4" fontId="5" fillId="0" borderId="33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5" fontId="5" fillId="0" borderId="33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4" fontId="5" fillId="0" borderId="25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0" fontId="0" fillId="0" borderId="0" xfId="0" applyFill="1"/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wrapText="1"/>
    </xf>
    <xf numFmtId="0" fontId="0" fillId="5" borderId="27" xfId="0" applyFill="1" applyBorder="1"/>
    <xf numFmtId="0" fontId="0" fillId="0" borderId="27" xfId="0" applyFill="1" applyBorder="1" applyAlignment="1">
      <alignment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27" xfId="0" applyBorder="1"/>
    <xf numFmtId="0" fontId="0" fillId="4" borderId="27" xfId="0" applyFill="1" applyBorder="1"/>
    <xf numFmtId="0" fontId="5" fillId="0" borderId="11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5" fillId="0" borderId="34" xfId="0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0" fillId="0" borderId="27" xfId="0" applyFill="1" applyBorder="1"/>
    <xf numFmtId="0" fontId="0" fillId="0" borderId="11" xfId="0" applyFont="1" applyBorder="1" applyAlignment="1">
      <alignment horizontal="center" vertical="center" wrapText="1"/>
    </xf>
    <xf numFmtId="165" fontId="0" fillId="4" borderId="0" xfId="0" applyNumberFormat="1" applyFill="1"/>
    <xf numFmtId="0" fontId="0" fillId="4" borderId="37" xfId="0" applyFill="1" applyBorder="1"/>
    <xf numFmtId="0" fontId="0" fillId="0" borderId="38" xfId="0" applyBorder="1"/>
    <xf numFmtId="0" fontId="0" fillId="0" borderId="39" xfId="0" applyBorder="1"/>
    <xf numFmtId="0" fontId="0" fillId="0" borderId="39" xfId="0" applyBorder="1" applyAlignment="1">
      <alignment horizontal="center"/>
    </xf>
    <xf numFmtId="0" fontId="0" fillId="0" borderId="37" xfId="0" applyBorder="1"/>
    <xf numFmtId="0" fontId="0" fillId="0" borderId="10" xfId="0" applyBorder="1"/>
    <xf numFmtId="0" fontId="0" fillId="0" borderId="0" xfId="0" applyBorder="1"/>
    <xf numFmtId="0" fontId="0" fillId="6" borderId="27" xfId="0" applyFill="1" applyBorder="1"/>
    <xf numFmtId="0" fontId="0" fillId="6" borderId="0" xfId="0" applyFill="1"/>
    <xf numFmtId="0" fontId="0" fillId="0" borderId="0" xfId="0" applyAlignment="1">
      <alignment wrapText="1"/>
    </xf>
    <xf numFmtId="165" fontId="0" fillId="4" borderId="40" xfId="0" applyNumberFormat="1" applyFill="1" applyBorder="1"/>
    <xf numFmtId="0" fontId="0" fillId="4" borderId="40" xfId="0" applyFill="1" applyBorder="1"/>
    <xf numFmtId="165" fontId="0" fillId="4" borderId="0" xfId="0" applyNumberFormat="1" applyFill="1" applyBorder="1"/>
    <xf numFmtId="0" fontId="0" fillId="4" borderId="41" xfId="0" applyFill="1" applyBorder="1"/>
    <xf numFmtId="0" fontId="0" fillId="4" borderId="42" xfId="0" applyFill="1" applyBorder="1"/>
    <xf numFmtId="0" fontId="14" fillId="4" borderId="27" xfId="0" applyFont="1" applyFill="1" applyBorder="1" applyAlignment="1">
      <alignment wrapText="1"/>
    </xf>
    <xf numFmtId="0" fontId="10" fillId="0" borderId="11" xfId="0" applyFont="1" applyBorder="1" applyAlignment="1">
      <alignment horizontal="center" vertical="center"/>
    </xf>
    <xf numFmtId="0" fontId="0" fillId="4" borderId="0" xfId="0" applyFill="1" applyAlignment="1">
      <alignment wrapText="1"/>
    </xf>
    <xf numFmtId="0" fontId="0" fillId="6" borderId="37" xfId="0" applyFill="1" applyBorder="1"/>
    <xf numFmtId="0" fontId="0" fillId="6" borderId="43" xfId="0" applyFill="1" applyBorder="1"/>
    <xf numFmtId="0" fontId="0" fillId="0" borderId="41" xfId="0" applyBorder="1"/>
    <xf numFmtId="0" fontId="0" fillId="0" borderId="42" xfId="0" applyBorder="1"/>
    <xf numFmtId="14" fontId="5" fillId="0" borderId="25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165" fontId="5" fillId="0" borderId="27" xfId="0" applyNumberFormat="1" applyFont="1" applyFill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165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1" fontId="10" fillId="0" borderId="27" xfId="0" applyNumberFormat="1" applyFont="1" applyFill="1" applyBorder="1" applyAlignment="1">
      <alignment horizontal="center" vertical="center"/>
    </xf>
    <xf numFmtId="9" fontId="5" fillId="0" borderId="10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165" fontId="12" fillId="0" borderId="33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/>
    </xf>
    <xf numFmtId="165" fontId="5" fillId="0" borderId="48" xfId="0" applyNumberFormat="1" applyFont="1" applyFill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center" vertical="center"/>
    </xf>
    <xf numFmtId="4" fontId="5" fillId="0" borderId="48" xfId="0" applyNumberFormat="1" applyFont="1" applyFill="1" applyBorder="1" applyAlignment="1">
      <alignment horizontal="center" vertical="center"/>
    </xf>
    <xf numFmtId="4" fontId="5" fillId="0" borderId="3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horizontal="center" vertical="center"/>
    </xf>
    <xf numFmtId="4" fontId="10" fillId="0" borderId="27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38" xfId="0" applyNumberFormat="1" applyFont="1" applyFill="1" applyBorder="1" applyAlignment="1">
      <alignment horizontal="center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4" fontId="5" fillId="0" borderId="45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165" fontId="11" fillId="0" borderId="33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2" fontId="13" fillId="0" borderId="27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2" fontId="13" fillId="0" borderId="44" xfId="0" applyNumberFormat="1" applyFont="1" applyFill="1" applyBorder="1" applyAlignment="1">
      <alignment horizontal="center" vertical="center"/>
    </xf>
    <xf numFmtId="2" fontId="13" fillId="0" borderId="25" xfId="0" applyNumberFormat="1" applyFont="1" applyFill="1" applyBorder="1" applyAlignment="1">
      <alignment horizontal="center" vertical="center"/>
    </xf>
    <xf numFmtId="165" fontId="10" fillId="0" borderId="33" xfId="0" applyNumberFormat="1" applyFont="1" applyFill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11" fillId="0" borderId="34" xfId="0" applyNumberFormat="1" applyFont="1" applyFill="1" applyBorder="1" applyAlignment="1">
      <alignment horizontal="center" vertical="center"/>
    </xf>
    <xf numFmtId="164" fontId="11" fillId="0" borderId="62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1" fontId="5" fillId="0" borderId="63" xfId="0" applyNumberFormat="1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164" fontId="11" fillId="0" borderId="66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164" fontId="5" fillId="0" borderId="71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47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36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2" fontId="5" fillId="0" borderId="52" xfId="0" applyNumberFormat="1" applyFont="1" applyFill="1" applyBorder="1" applyAlignment="1">
      <alignment horizontal="center" vertical="center"/>
    </xf>
    <xf numFmtId="2" fontId="5" fillId="0" borderId="53" xfId="0" applyNumberFormat="1" applyFont="1" applyFill="1" applyBorder="1" applyAlignment="1">
      <alignment horizontal="center" vertical="center"/>
    </xf>
    <xf numFmtId="2" fontId="11" fillId="0" borderId="36" xfId="0" applyNumberFormat="1" applyFont="1" applyFill="1" applyBorder="1" applyAlignment="1">
      <alignment horizontal="center" vertical="center"/>
    </xf>
    <xf numFmtId="2" fontId="11" fillId="0" borderId="65" xfId="0" applyNumberFormat="1" applyFont="1" applyFill="1" applyBorder="1" applyAlignment="1">
      <alignment horizontal="center" vertical="center"/>
    </xf>
    <xf numFmtId="2" fontId="11" fillId="0" borderId="74" xfId="0" applyNumberFormat="1" applyFont="1" applyFill="1" applyBorder="1" applyAlignment="1">
      <alignment horizontal="center" vertical="center"/>
    </xf>
    <xf numFmtId="2" fontId="11" fillId="0" borderId="28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164" fontId="17" fillId="9" borderId="33" xfId="0" applyNumberFormat="1" applyFont="1" applyFill="1" applyBorder="1" applyAlignment="1">
      <alignment horizontal="center" vertical="center"/>
    </xf>
    <xf numFmtId="4" fontId="17" fillId="9" borderId="33" xfId="0" applyNumberFormat="1" applyFont="1" applyFill="1" applyBorder="1" applyAlignment="1">
      <alignment horizontal="center" vertical="center"/>
    </xf>
    <xf numFmtId="165" fontId="17" fillId="9" borderId="33" xfId="0" applyNumberFormat="1" applyFont="1" applyFill="1" applyBorder="1" applyAlignment="1">
      <alignment horizontal="center" vertical="center"/>
    </xf>
    <xf numFmtId="165" fontId="17" fillId="9" borderId="10" xfId="0" applyNumberFormat="1" applyFont="1" applyFill="1" applyBorder="1" applyAlignment="1">
      <alignment horizontal="center" vertical="center"/>
    </xf>
    <xf numFmtId="4" fontId="17" fillId="9" borderId="27" xfId="0" applyNumberFormat="1" applyFont="1" applyFill="1" applyBorder="1" applyAlignment="1">
      <alignment horizontal="center" vertical="center"/>
    </xf>
    <xf numFmtId="164" fontId="11" fillId="9" borderId="28" xfId="0" applyNumberFormat="1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3" fontId="17" fillId="9" borderId="27" xfId="0" applyNumberFormat="1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4" fontId="17" fillId="9" borderId="45" xfId="0" applyNumberFormat="1" applyFont="1" applyFill="1" applyBorder="1" applyAlignment="1">
      <alignment horizontal="center" vertical="center"/>
    </xf>
    <xf numFmtId="3" fontId="17" fillId="9" borderId="10" xfId="0" applyNumberFormat="1" applyFont="1" applyFill="1" applyBorder="1" applyAlignment="1">
      <alignment horizontal="center" vertical="center"/>
    </xf>
    <xf numFmtId="3" fontId="11" fillId="9" borderId="27" xfId="0" applyNumberFormat="1" applyFont="1" applyFill="1" applyBorder="1" applyAlignment="1">
      <alignment horizontal="center" vertical="center"/>
    </xf>
    <xf numFmtId="164" fontId="17" fillId="9" borderId="12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vertical="center" wrapText="1"/>
    </xf>
    <xf numFmtId="0" fontId="5" fillId="9" borderId="10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/>
    </xf>
    <xf numFmtId="0" fontId="5" fillId="9" borderId="44" xfId="0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0" xfId="0" applyNumberFormat="1" applyFont="1" applyFill="1" applyBorder="1" applyAlignment="1">
      <alignment horizontal="center" vertical="center"/>
    </xf>
    <xf numFmtId="3" fontId="5" fillId="9" borderId="10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11" fillId="0" borderId="25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20" fontId="5" fillId="0" borderId="11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4" fontId="5" fillId="10" borderId="25" xfId="0" applyNumberFormat="1" applyFont="1" applyFill="1" applyBorder="1" applyAlignment="1">
      <alignment horizontal="center" vertical="center"/>
    </xf>
    <xf numFmtId="20" fontId="5" fillId="10" borderId="11" xfId="0" applyNumberFormat="1" applyFont="1" applyFill="1" applyBorder="1" applyAlignment="1">
      <alignment horizontal="center" vertical="center"/>
    </xf>
    <xf numFmtId="164" fontId="11" fillId="10" borderId="25" xfId="0" applyNumberFormat="1" applyFont="1" applyFill="1" applyBorder="1" applyAlignment="1">
      <alignment horizontal="center" vertical="center"/>
    </xf>
    <xf numFmtId="4" fontId="5" fillId="10" borderId="10" xfId="0" applyNumberFormat="1" applyFont="1" applyFill="1" applyBorder="1" applyAlignment="1">
      <alignment horizontal="center" vertical="center"/>
    </xf>
    <xf numFmtId="3" fontId="5" fillId="10" borderId="10" xfId="0" applyNumberFormat="1" applyFont="1" applyFill="1" applyBorder="1" applyAlignment="1">
      <alignment horizontal="center" vertical="center"/>
    </xf>
    <xf numFmtId="3" fontId="5" fillId="10" borderId="11" xfId="0" applyNumberFormat="1" applyFont="1" applyFill="1" applyBorder="1" applyAlignment="1">
      <alignment horizontal="center" vertical="center"/>
    </xf>
    <xf numFmtId="3" fontId="5" fillId="10" borderId="34" xfId="0" applyNumberFormat="1" applyFont="1" applyFill="1" applyBorder="1" applyAlignment="1">
      <alignment horizontal="center" vertical="center"/>
    </xf>
    <xf numFmtId="2" fontId="5" fillId="10" borderId="12" xfId="0" applyNumberFormat="1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164" fontId="17" fillId="10" borderId="33" xfId="0" applyNumberFormat="1" applyFont="1" applyFill="1" applyBorder="1" applyAlignment="1">
      <alignment horizontal="center" vertical="center"/>
    </xf>
    <xf numFmtId="4" fontId="17" fillId="10" borderId="33" xfId="0" applyNumberFormat="1" applyFont="1" applyFill="1" applyBorder="1" applyAlignment="1">
      <alignment horizontal="center" vertical="center"/>
    </xf>
    <xf numFmtId="165" fontId="17" fillId="10" borderId="33" xfId="0" applyNumberFormat="1" applyFont="1" applyFill="1" applyBorder="1" applyAlignment="1">
      <alignment horizontal="center" vertical="center"/>
    </xf>
    <xf numFmtId="165" fontId="17" fillId="10" borderId="10" xfId="0" applyNumberFormat="1" applyFont="1" applyFill="1" applyBorder="1" applyAlignment="1">
      <alignment horizontal="center" vertical="center"/>
    </xf>
    <xf numFmtId="4" fontId="17" fillId="10" borderId="27" xfId="0" applyNumberFormat="1" applyFont="1" applyFill="1" applyBorder="1" applyAlignment="1">
      <alignment horizontal="center" vertical="center"/>
    </xf>
    <xf numFmtId="164" fontId="11" fillId="10" borderId="28" xfId="0" applyNumberFormat="1" applyFont="1" applyFill="1" applyBorder="1" applyAlignment="1">
      <alignment horizontal="center" vertical="center"/>
    </xf>
    <xf numFmtId="164" fontId="5" fillId="10" borderId="10" xfId="0" applyNumberFormat="1" applyFont="1" applyFill="1" applyBorder="1" applyAlignment="1">
      <alignment horizontal="center" vertical="center"/>
    </xf>
    <xf numFmtId="1" fontId="5" fillId="10" borderId="10" xfId="0" applyNumberFormat="1" applyFont="1" applyFill="1" applyBorder="1" applyAlignment="1">
      <alignment horizontal="center" vertical="center"/>
    </xf>
    <xf numFmtId="0" fontId="5" fillId="10" borderId="35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4" fontId="17" fillId="10" borderId="45" xfId="0" applyNumberFormat="1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3" fontId="17" fillId="10" borderId="27" xfId="0" applyNumberFormat="1" applyFont="1" applyFill="1" applyBorder="1" applyAlignment="1">
      <alignment horizontal="center" vertical="center"/>
    </xf>
    <xf numFmtId="3" fontId="11" fillId="10" borderId="27" xfId="0" applyNumberFormat="1" applyFont="1" applyFill="1" applyBorder="1" applyAlignment="1">
      <alignment horizontal="center" vertical="center"/>
    </xf>
    <xf numFmtId="0" fontId="5" fillId="10" borderId="10" xfId="0" applyNumberFormat="1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0" fillId="10" borderId="0" xfId="0" applyFill="1"/>
    <xf numFmtId="0" fontId="5" fillId="10" borderId="34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164" fontId="17" fillId="10" borderId="15" xfId="0" applyNumberFormat="1" applyFont="1" applyFill="1" applyBorder="1" applyAlignment="1">
      <alignment horizontal="center" vertical="center"/>
    </xf>
    <xf numFmtId="3" fontId="17" fillId="10" borderId="10" xfId="0" applyNumberFormat="1" applyFont="1" applyFill="1" applyBorder="1" applyAlignment="1">
      <alignment horizontal="center" vertical="center"/>
    </xf>
    <xf numFmtId="3" fontId="23" fillId="0" borderId="34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/>
    </xf>
    <xf numFmtId="4" fontId="5" fillId="10" borderId="27" xfId="0" applyNumberFormat="1" applyFont="1" applyFill="1" applyBorder="1" applyAlignment="1">
      <alignment horizontal="center" vertical="center"/>
    </xf>
    <xf numFmtId="3" fontId="5" fillId="10" borderId="27" xfId="0" applyNumberFormat="1" applyFont="1" applyFill="1" applyBorder="1" applyAlignment="1">
      <alignment horizontal="center" vertical="center"/>
    </xf>
    <xf numFmtId="3" fontId="5" fillId="10" borderId="28" xfId="0" applyNumberFormat="1" applyFont="1" applyFill="1" applyBorder="1" applyAlignment="1">
      <alignment horizontal="center" vertical="center"/>
    </xf>
    <xf numFmtId="3" fontId="5" fillId="10" borderId="29" xfId="0" applyNumberFormat="1" applyFont="1" applyFill="1" applyBorder="1" applyAlignment="1">
      <alignment horizontal="center" vertical="center"/>
    </xf>
    <xf numFmtId="2" fontId="5" fillId="10" borderId="15" xfId="0" applyNumberFormat="1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20" fontId="5" fillId="0" borderId="32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0" fillId="0" borderId="0" xfId="0" applyNumberFormat="1" applyFont="1" applyAlignment="1">
      <alignment vertical="center"/>
    </xf>
    <xf numFmtId="20" fontId="5" fillId="0" borderId="28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/>
    </xf>
    <xf numFmtId="165" fontId="5" fillId="10" borderId="10" xfId="0" applyNumberFormat="1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23" fillId="10" borderId="27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" fontId="5" fillId="10" borderId="33" xfId="0" applyNumberFormat="1" applyFont="1" applyFill="1" applyBorder="1" applyAlignment="1">
      <alignment horizontal="center" vertical="center"/>
    </xf>
    <xf numFmtId="165" fontId="5" fillId="10" borderId="11" xfId="0" applyNumberFormat="1" applyFont="1" applyFill="1" applyBorder="1" applyAlignment="1">
      <alignment horizontal="center" vertical="center"/>
    </xf>
    <xf numFmtId="165" fontId="5" fillId="10" borderId="33" xfId="0" applyNumberFormat="1" applyFont="1" applyFill="1" applyBorder="1" applyAlignment="1">
      <alignment horizontal="center" vertical="center"/>
    </xf>
    <xf numFmtId="4" fontId="5" fillId="10" borderId="25" xfId="0" applyNumberFormat="1" applyFont="1" applyFill="1" applyBorder="1" applyAlignment="1">
      <alignment horizontal="center" vertical="center"/>
    </xf>
    <xf numFmtId="164" fontId="5" fillId="10" borderId="33" xfId="0" applyNumberFormat="1" applyFont="1" applyFill="1" applyBorder="1" applyAlignment="1">
      <alignment horizontal="center" vertical="center"/>
    </xf>
    <xf numFmtId="3" fontId="23" fillId="10" borderId="10" xfId="0" applyNumberFormat="1" applyFont="1" applyFill="1" applyBorder="1" applyAlignment="1">
      <alignment horizontal="center" vertical="center"/>
    </xf>
    <xf numFmtId="14" fontId="5" fillId="9" borderId="25" xfId="0" applyNumberFormat="1" applyFont="1" applyFill="1" applyBorder="1" applyAlignment="1">
      <alignment horizontal="center" vertical="center"/>
    </xf>
    <xf numFmtId="4" fontId="23" fillId="10" borderId="9" xfId="0" applyNumberFormat="1" applyFont="1" applyFill="1" applyBorder="1" applyAlignment="1">
      <alignment horizontal="center" vertical="center"/>
    </xf>
    <xf numFmtId="4" fontId="23" fillId="10" borderId="10" xfId="0" applyNumberFormat="1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/>
    </xf>
    <xf numFmtId="4" fontId="23" fillId="10" borderId="33" xfId="0" applyNumberFormat="1" applyFont="1" applyFill="1" applyBorder="1" applyAlignment="1">
      <alignment horizontal="center" vertical="center"/>
    </xf>
    <xf numFmtId="0" fontId="23" fillId="10" borderId="26" xfId="0" applyFont="1" applyFill="1" applyBorder="1" applyAlignment="1">
      <alignment horizontal="center" vertical="center"/>
    </xf>
    <xf numFmtId="0" fontId="23" fillId="10" borderId="44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4" fontId="5" fillId="10" borderId="44" xfId="0" applyNumberFormat="1" applyFont="1" applyFill="1" applyBorder="1" applyAlignment="1">
      <alignment horizontal="center" vertical="center"/>
    </xf>
    <xf numFmtId="0" fontId="5" fillId="10" borderId="35" xfId="0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2" fontId="5" fillId="10" borderId="26" xfId="0" applyNumberFormat="1" applyFont="1" applyFill="1" applyBorder="1" applyAlignment="1">
      <alignment horizontal="center" vertical="center"/>
    </xf>
    <xf numFmtId="2" fontId="5" fillId="10" borderId="44" xfId="0" applyNumberFormat="1" applyFont="1" applyFill="1" applyBorder="1" applyAlignment="1">
      <alignment horizontal="center" vertical="center"/>
    </xf>
    <xf numFmtId="164" fontId="5" fillId="10" borderId="4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64" fontId="11" fillId="10" borderId="76" xfId="0" applyNumberFormat="1" applyFont="1" applyFill="1" applyBorder="1" applyAlignment="1">
      <alignment horizontal="center" vertical="center"/>
    </xf>
    <xf numFmtId="164" fontId="11" fillId="0" borderId="77" xfId="0" applyNumberFormat="1" applyFont="1" applyFill="1" applyBorder="1" applyAlignment="1">
      <alignment horizontal="center" vertical="center"/>
    </xf>
    <xf numFmtId="20" fontId="5" fillId="0" borderId="29" xfId="0" applyNumberFormat="1" applyFont="1" applyFill="1" applyBorder="1" applyAlignment="1">
      <alignment horizontal="center" vertical="center"/>
    </xf>
    <xf numFmtId="20" fontId="5" fillId="10" borderId="29" xfId="0" applyNumberFormat="1" applyFont="1" applyFill="1" applyBorder="1" applyAlignment="1">
      <alignment horizontal="center" vertical="center"/>
    </xf>
    <xf numFmtId="20" fontId="23" fillId="0" borderId="29" xfId="0" applyNumberFormat="1" applyFont="1" applyFill="1" applyBorder="1" applyAlignment="1">
      <alignment horizontal="center" vertical="center"/>
    </xf>
    <xf numFmtId="20" fontId="23" fillId="0" borderId="34" xfId="0" applyNumberFormat="1" applyFont="1" applyFill="1" applyBorder="1" applyAlignment="1">
      <alignment horizontal="center" vertical="center"/>
    </xf>
    <xf numFmtId="20" fontId="5" fillId="0" borderId="34" xfId="0" applyNumberFormat="1" applyFont="1" applyFill="1" applyBorder="1" applyAlignment="1">
      <alignment horizontal="center" vertical="center"/>
    </xf>
    <xf numFmtId="20" fontId="5" fillId="10" borderId="34" xfId="0" applyNumberFormat="1" applyFont="1" applyFill="1" applyBorder="1" applyAlignment="1">
      <alignment horizontal="center" vertical="center"/>
    </xf>
    <xf numFmtId="20" fontId="5" fillId="0" borderId="46" xfId="0" applyNumberFormat="1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/>
    </xf>
    <xf numFmtId="164" fontId="11" fillId="10" borderId="77" xfId="0" applyNumberFormat="1" applyFont="1" applyFill="1" applyBorder="1" applyAlignment="1">
      <alignment horizontal="center" vertical="center"/>
    </xf>
    <xf numFmtId="164" fontId="23" fillId="0" borderId="77" xfId="0" applyNumberFormat="1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3" fontId="12" fillId="10" borderId="10" xfId="0" applyNumberFormat="1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20" fontId="11" fillId="0" borderId="11" xfId="0" applyNumberFormat="1" applyFont="1" applyFill="1" applyBorder="1" applyAlignment="1">
      <alignment horizontal="center" vertical="center"/>
    </xf>
    <xf numFmtId="164" fontId="5" fillId="10" borderId="12" xfId="0" applyNumberFormat="1" applyFont="1" applyFill="1" applyBorder="1" applyAlignment="1">
      <alignment horizontal="center" vertical="center"/>
    </xf>
    <xf numFmtId="164" fontId="5" fillId="10" borderId="28" xfId="0" applyNumberFormat="1" applyFont="1" applyFill="1" applyBorder="1" applyAlignment="1">
      <alignment horizontal="center" vertical="center"/>
    </xf>
    <xf numFmtId="164" fontId="5" fillId="9" borderId="28" xfId="0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 wrapText="1"/>
    </xf>
    <xf numFmtId="20" fontId="11" fillId="10" borderId="11" xfId="0" applyNumberFormat="1" applyFont="1" applyFill="1" applyBorder="1" applyAlignment="1">
      <alignment horizontal="center" vertical="center"/>
    </xf>
    <xf numFmtId="0" fontId="1" fillId="7" borderId="79" xfId="0" applyFont="1" applyFill="1" applyBorder="1" applyAlignment="1">
      <alignment vertical="center"/>
    </xf>
    <xf numFmtId="0" fontId="1" fillId="8" borderId="79" xfId="0" applyFont="1" applyFill="1" applyBorder="1" applyAlignment="1">
      <alignment vertical="center"/>
    </xf>
    <xf numFmtId="0" fontId="2" fillId="2" borderId="80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3" fontId="25" fillId="0" borderId="10" xfId="0" applyNumberFormat="1" applyFont="1" applyFill="1" applyBorder="1" applyAlignment="1">
      <alignment horizontal="center" vertical="center"/>
    </xf>
    <xf numFmtId="165" fontId="25" fillId="9" borderId="10" xfId="0" applyNumberFormat="1" applyFont="1" applyFill="1" applyBorder="1" applyAlignment="1">
      <alignment horizontal="center" vertical="center"/>
    </xf>
    <xf numFmtId="164" fontId="25" fillId="10" borderId="10" xfId="0" applyNumberFormat="1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3" fontId="5" fillId="11" borderId="12" xfId="0" applyNumberFormat="1" applyFont="1" applyFill="1" applyBorder="1" applyAlignment="1">
      <alignment horizontal="center" vertical="center"/>
    </xf>
    <xf numFmtId="3" fontId="5" fillId="11" borderId="15" xfId="0" applyNumberFormat="1" applyFont="1" applyFill="1" applyBorder="1" applyAlignment="1">
      <alignment horizontal="center" vertical="center"/>
    </xf>
    <xf numFmtId="3" fontId="5" fillId="11" borderId="36" xfId="0" applyNumberFormat="1" applyFont="1" applyFill="1" applyBorder="1" applyAlignment="1">
      <alignment horizontal="center" vertical="center"/>
    </xf>
    <xf numFmtId="165" fontId="5" fillId="11" borderId="12" xfId="0" applyNumberFormat="1" applyFont="1" applyFill="1" applyBorder="1" applyAlignment="1">
      <alignment horizontal="center" vertical="center"/>
    </xf>
    <xf numFmtId="4" fontId="5" fillId="11" borderId="12" xfId="0" applyNumberFormat="1" applyFont="1" applyFill="1" applyBorder="1" applyAlignment="1">
      <alignment horizontal="center" vertical="center"/>
    </xf>
    <xf numFmtId="0" fontId="5" fillId="11" borderId="36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 applyAlignment="1">
      <alignment horizontal="center" vertical="center"/>
    </xf>
    <xf numFmtId="165" fontId="23" fillId="9" borderId="10" xfId="0" applyNumberFormat="1" applyFont="1" applyFill="1" applyBorder="1" applyAlignment="1">
      <alignment horizontal="center" vertical="center"/>
    </xf>
    <xf numFmtId="164" fontId="5" fillId="10" borderId="9" xfId="0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3" fontId="12" fillId="0" borderId="34" xfId="0" applyNumberFormat="1" applyFont="1" applyFill="1" applyBorder="1" applyAlignment="1">
      <alignment horizontal="center" vertical="center"/>
    </xf>
    <xf numFmtId="3" fontId="12" fillId="10" borderId="34" xfId="0" applyNumberFormat="1" applyFont="1" applyFill="1" applyBorder="1" applyAlignment="1">
      <alignment horizontal="center" vertical="center"/>
    </xf>
    <xf numFmtId="3" fontId="11" fillId="10" borderId="10" xfId="0" applyNumberFormat="1" applyFont="1" applyFill="1" applyBorder="1" applyAlignment="1">
      <alignment horizontal="center" vertical="center"/>
    </xf>
    <xf numFmtId="0" fontId="0" fillId="10" borderId="27" xfId="0" applyFill="1" applyBorder="1"/>
    <xf numFmtId="165" fontId="11" fillId="9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 vertical="center"/>
    </xf>
    <xf numFmtId="0" fontId="0" fillId="10" borderId="27" xfId="0" applyFill="1" applyBorder="1" applyAlignment="1">
      <alignment wrapText="1"/>
    </xf>
    <xf numFmtId="0" fontId="0" fillId="12" borderId="27" xfId="0" applyFill="1" applyBorder="1"/>
    <xf numFmtId="0" fontId="5" fillId="12" borderId="34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/>
    </xf>
    <xf numFmtId="3" fontId="11" fillId="12" borderId="10" xfId="0" applyNumberFormat="1" applyFont="1" applyFill="1" applyBorder="1" applyAlignment="1">
      <alignment horizontal="center" vertical="center"/>
    </xf>
    <xf numFmtId="3" fontId="10" fillId="10" borderId="10" xfId="0" applyNumberFormat="1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165" fontId="5" fillId="10" borderId="9" xfId="0" applyNumberFormat="1" applyFont="1" applyFill="1" applyBorder="1" applyAlignment="1">
      <alignment horizontal="center" vertical="center"/>
    </xf>
    <xf numFmtId="165" fontId="5" fillId="10" borderId="27" xfId="0" applyNumberFormat="1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165" fontId="11" fillId="12" borderId="10" xfId="0" applyNumberFormat="1" applyFont="1" applyFill="1" applyBorder="1" applyAlignment="1">
      <alignment horizontal="center" vertical="center"/>
    </xf>
    <xf numFmtId="3" fontId="11" fillId="12" borderId="27" xfId="0" applyNumberFormat="1" applyFont="1" applyFill="1" applyBorder="1" applyAlignment="1">
      <alignment horizontal="center" vertical="center"/>
    </xf>
    <xf numFmtId="4" fontId="23" fillId="10" borderId="2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165" fontId="11" fillId="10" borderId="10" xfId="0" applyNumberFormat="1" applyFont="1" applyFill="1" applyBorder="1" applyAlignment="1">
      <alignment horizontal="center" vertical="center"/>
    </xf>
    <xf numFmtId="1" fontId="11" fillId="10" borderId="10" xfId="0" applyNumberFormat="1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164" fontId="5" fillId="11" borderId="12" xfId="0" applyNumberFormat="1" applyFont="1" applyFill="1" applyBorder="1" applyAlignment="1">
      <alignment horizontal="center" vertical="center"/>
    </xf>
    <xf numFmtId="164" fontId="10" fillId="11" borderId="12" xfId="0" applyNumberFormat="1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0" fillId="10" borderId="27" xfId="0" applyFill="1" applyBorder="1" applyAlignment="1">
      <alignment vertical="top" wrapText="1"/>
    </xf>
    <xf numFmtId="0" fontId="0" fillId="10" borderId="0" xfId="0" applyFill="1" applyAlignment="1">
      <alignment wrapText="1"/>
    </xf>
    <xf numFmtId="165" fontId="23" fillId="10" borderId="10" xfId="0" applyNumberFormat="1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2" fontId="11" fillId="10" borderId="12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 wrapText="1"/>
    </xf>
    <xf numFmtId="164" fontId="11" fillId="11" borderId="12" xfId="0" applyNumberFormat="1" applyFont="1" applyFill="1" applyBorder="1" applyAlignment="1">
      <alignment horizontal="center" vertical="center"/>
    </xf>
    <xf numFmtId="14" fontId="11" fillId="10" borderId="25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2" fontId="5" fillId="10" borderId="10" xfId="0" applyNumberFormat="1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/>
    </xf>
    <xf numFmtId="0" fontId="20" fillId="10" borderId="0" xfId="0" applyFont="1" applyFill="1"/>
    <xf numFmtId="0" fontId="0" fillId="10" borderId="11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/>
    </xf>
    <xf numFmtId="164" fontId="11" fillId="10" borderId="9" xfId="0" applyNumberFormat="1" applyFont="1" applyFill="1" applyBorder="1" applyAlignment="1">
      <alignment horizontal="center" vertical="center"/>
    </xf>
    <xf numFmtId="4" fontId="11" fillId="10" borderId="10" xfId="0" applyNumberFormat="1" applyFont="1" applyFill="1" applyBorder="1" applyAlignment="1">
      <alignment horizontal="center" vertical="center"/>
    </xf>
    <xf numFmtId="164" fontId="23" fillId="0" borderId="10" xfId="0" applyNumberFormat="1" applyFont="1" applyFill="1" applyBorder="1" applyAlignment="1">
      <alignment horizontal="center" vertical="center"/>
    </xf>
    <xf numFmtId="3" fontId="23" fillId="9" borderId="27" xfId="0" applyNumberFormat="1" applyFont="1" applyFill="1" applyBorder="1" applyAlignment="1">
      <alignment horizontal="center" vertical="center"/>
    </xf>
    <xf numFmtId="3" fontId="0" fillId="0" borderId="27" xfId="0" applyNumberFormat="1" applyBorder="1" applyAlignment="1">
      <alignment horizontal="center"/>
    </xf>
    <xf numFmtId="3" fontId="20" fillId="0" borderId="27" xfId="0" applyNumberFormat="1" applyFont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10" borderId="10" xfId="0" applyNumberFormat="1" applyFont="1" applyFill="1" applyBorder="1" applyAlignment="1">
      <alignment horizontal="center" vertical="center"/>
    </xf>
    <xf numFmtId="3" fontId="5" fillId="9" borderId="27" xfId="0" applyNumberFormat="1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3" fontId="5" fillId="10" borderId="37" xfId="0" applyNumberFormat="1" applyFont="1" applyFill="1" applyBorder="1" applyAlignment="1">
      <alignment horizontal="center" vertical="center"/>
    </xf>
    <xf numFmtId="3" fontId="5" fillId="10" borderId="47" xfId="0" applyNumberFormat="1" applyFon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 vertical="center"/>
    </xf>
    <xf numFmtId="0" fontId="5" fillId="10" borderId="47" xfId="0" applyFont="1" applyFill="1" applyBorder="1" applyAlignment="1">
      <alignment horizontal="center" vertical="center"/>
    </xf>
    <xf numFmtId="2" fontId="5" fillId="10" borderId="36" xfId="0" applyNumberFormat="1" applyFont="1" applyFill="1" applyBorder="1" applyAlignment="1">
      <alignment horizontal="center" vertical="center"/>
    </xf>
    <xf numFmtId="3" fontId="5" fillId="10" borderId="31" xfId="0" applyNumberFormat="1" applyFont="1" applyFill="1" applyBorder="1" applyAlignment="1">
      <alignment horizontal="center" vertical="center"/>
    </xf>
    <xf numFmtId="0" fontId="0" fillId="10" borderId="37" xfId="0" applyFill="1" applyBorder="1"/>
    <xf numFmtId="165" fontId="0" fillId="10" borderId="0" xfId="0" applyNumberFormat="1" applyFill="1"/>
    <xf numFmtId="0" fontId="23" fillId="10" borderId="30" xfId="0" applyFont="1" applyFill="1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 wrapText="1"/>
    </xf>
    <xf numFmtId="20" fontId="5" fillId="10" borderId="28" xfId="0" applyNumberFormat="1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/>
    </xf>
    <xf numFmtId="43" fontId="23" fillId="10" borderId="26" xfId="1" applyFont="1" applyFill="1" applyBorder="1" applyAlignment="1">
      <alignment horizontal="center" vertical="center"/>
    </xf>
    <xf numFmtId="2" fontId="5" fillId="9" borderId="10" xfId="0" applyNumberFormat="1" applyFont="1" applyFill="1" applyBorder="1" applyAlignment="1">
      <alignment horizontal="center" vertical="center"/>
    </xf>
    <xf numFmtId="1" fontId="11" fillId="10" borderId="27" xfId="0" applyNumberFormat="1" applyFont="1" applyFill="1" applyBorder="1" applyAlignment="1">
      <alignment horizontal="center" vertical="center"/>
    </xf>
    <xf numFmtId="0" fontId="23" fillId="10" borderId="33" xfId="0" applyFont="1" applyFill="1" applyBorder="1" applyAlignment="1">
      <alignment horizontal="center" vertical="center"/>
    </xf>
    <xf numFmtId="14" fontId="5" fillId="15" borderId="25" xfId="0" applyNumberFormat="1" applyFont="1" applyFill="1" applyBorder="1" applyAlignment="1">
      <alignment horizontal="center" vertical="center"/>
    </xf>
    <xf numFmtId="20" fontId="5" fillId="15" borderId="11" xfId="0" applyNumberFormat="1" applyFont="1" applyFill="1" applyBorder="1" applyAlignment="1">
      <alignment horizontal="center" vertical="center"/>
    </xf>
    <xf numFmtId="164" fontId="11" fillId="15" borderId="25" xfId="0" applyNumberFormat="1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4" xfId="0" applyFont="1" applyFill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/>
    </xf>
    <xf numFmtId="2" fontId="5" fillId="15" borderId="12" xfId="0" applyNumberFormat="1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 vertical="center"/>
    </xf>
    <xf numFmtId="0" fontId="5" fillId="15" borderId="33" xfId="0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3" fontId="5" fillId="15" borderId="10" xfId="0" applyNumberFormat="1" applyFont="1" applyFill="1" applyBorder="1" applyAlignment="1">
      <alignment horizontal="center" vertical="center"/>
    </xf>
    <xf numFmtId="3" fontId="5" fillId="15" borderId="27" xfId="0" applyNumberFormat="1" applyFont="1" applyFill="1" applyBorder="1" applyAlignment="1">
      <alignment horizontal="center" vertical="center"/>
    </xf>
    <xf numFmtId="3" fontId="11" fillId="15" borderId="10" xfId="0" applyNumberFormat="1" applyFont="1" applyFill="1" applyBorder="1" applyAlignment="1">
      <alignment horizontal="center" vertical="center"/>
    </xf>
    <xf numFmtId="0" fontId="0" fillId="15" borderId="27" xfId="0" applyFill="1" applyBorder="1" applyAlignment="1">
      <alignment wrapText="1"/>
    </xf>
    <xf numFmtId="0" fontId="5" fillId="15" borderId="27" xfId="0" applyFont="1" applyFill="1" applyBorder="1" applyAlignment="1">
      <alignment horizontal="center" vertical="center"/>
    </xf>
    <xf numFmtId="165" fontId="11" fillId="15" borderId="10" xfId="0" applyNumberFormat="1" applyFont="1" applyFill="1" applyBorder="1" applyAlignment="1">
      <alignment horizontal="center" vertical="center"/>
    </xf>
    <xf numFmtId="165" fontId="5" fillId="15" borderId="27" xfId="0" applyNumberFormat="1" applyFont="1" applyFill="1" applyBorder="1" applyAlignment="1">
      <alignment horizontal="center" vertical="center"/>
    </xf>
    <xf numFmtId="3" fontId="11" fillId="15" borderId="27" xfId="0" applyNumberFormat="1" applyFont="1" applyFill="1" applyBorder="1" applyAlignment="1">
      <alignment horizontal="center" vertical="center"/>
    </xf>
    <xf numFmtId="0" fontId="0" fillId="15" borderId="0" xfId="0" applyFill="1"/>
    <xf numFmtId="49" fontId="5" fillId="10" borderId="34" xfId="0" applyNumberFormat="1" applyFont="1" applyFill="1" applyBorder="1" applyAlignment="1">
      <alignment horizontal="center" vertical="center"/>
    </xf>
    <xf numFmtId="49" fontId="5" fillId="10" borderId="10" xfId="0" applyNumberFormat="1" applyFont="1" applyFill="1" applyBorder="1" applyAlignment="1">
      <alignment horizontal="center" vertical="center"/>
    </xf>
    <xf numFmtId="164" fontId="23" fillId="10" borderId="1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10" borderId="27" xfId="0" applyFill="1" applyBorder="1" applyAlignment="1">
      <alignment horizontal="center"/>
    </xf>
    <xf numFmtId="2" fontId="13" fillId="10" borderId="10" xfId="0" applyNumberFormat="1" applyFont="1" applyFill="1" applyBorder="1" applyAlignment="1">
      <alignment horizontal="center" vertical="center"/>
    </xf>
    <xf numFmtId="164" fontId="5" fillId="10" borderId="29" xfId="0" applyNumberFormat="1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164" fontId="5" fillId="11" borderId="10" xfId="0" applyNumberFormat="1" applyFont="1" applyFill="1" applyBorder="1" applyAlignment="1">
      <alignment horizontal="center" vertical="center"/>
    </xf>
    <xf numFmtId="164" fontId="11" fillId="11" borderId="10" xfId="0" applyNumberFormat="1" applyFont="1" applyFill="1" applyBorder="1" applyAlignment="1">
      <alignment horizontal="center" vertical="center"/>
    </xf>
    <xf numFmtId="3" fontId="5" fillId="11" borderId="27" xfId="0" applyNumberFormat="1" applyFont="1" applyFill="1" applyBorder="1" applyAlignment="1">
      <alignment horizontal="center" vertical="center"/>
    </xf>
    <xf numFmtId="3" fontId="5" fillId="11" borderId="10" xfId="0" applyNumberFormat="1" applyFont="1" applyFill="1" applyBorder="1" applyAlignment="1">
      <alignment horizontal="center" vertical="center"/>
    </xf>
    <xf numFmtId="1" fontId="11" fillId="11" borderId="10" xfId="0" applyNumberFormat="1" applyFont="1" applyFill="1" applyBorder="1" applyAlignment="1">
      <alignment horizontal="center" vertical="center"/>
    </xf>
    <xf numFmtId="1" fontId="5" fillId="11" borderId="10" xfId="0" applyNumberFormat="1" applyFont="1" applyFill="1" applyBorder="1" applyAlignment="1">
      <alignment horizontal="center" vertical="center"/>
    </xf>
    <xf numFmtId="2" fontId="5" fillId="11" borderId="10" xfId="0" applyNumberFormat="1" applyFont="1" applyFill="1" applyBorder="1" applyAlignment="1">
      <alignment horizontal="center" vertical="center"/>
    </xf>
    <xf numFmtId="3" fontId="11" fillId="11" borderId="10" xfId="0" applyNumberFormat="1" applyFont="1" applyFill="1" applyBorder="1" applyAlignment="1">
      <alignment horizontal="center" vertical="center"/>
    </xf>
    <xf numFmtId="3" fontId="5" fillId="11" borderId="31" xfId="0" applyNumberFormat="1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 vertical="center"/>
    </xf>
    <xf numFmtId="3" fontId="5" fillId="11" borderId="37" xfId="0" applyNumberFormat="1" applyFont="1" applyFill="1" applyBorder="1" applyAlignment="1">
      <alignment horizontal="center" vertical="center"/>
    </xf>
    <xf numFmtId="1" fontId="11" fillId="11" borderId="27" xfId="0" applyNumberFormat="1" applyFont="1" applyFill="1" applyBorder="1" applyAlignment="1">
      <alignment horizontal="center" vertical="center"/>
    </xf>
    <xf numFmtId="3" fontId="5" fillId="11" borderId="38" xfId="0" applyNumberFormat="1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3" fontId="11" fillId="11" borderId="38" xfId="0" applyNumberFormat="1" applyFont="1" applyFill="1" applyBorder="1" applyAlignment="1">
      <alignment horizontal="center" vertical="center"/>
    </xf>
    <xf numFmtId="3" fontId="11" fillId="11" borderId="31" xfId="0" applyNumberFormat="1" applyFont="1" applyFill="1" applyBorder="1" applyAlignment="1">
      <alignment horizontal="center" vertical="center"/>
    </xf>
    <xf numFmtId="165" fontId="5" fillId="11" borderId="10" xfId="0" applyNumberFormat="1" applyFont="1" applyFill="1" applyBorder="1" applyAlignment="1">
      <alignment horizontal="center" vertical="center"/>
    </xf>
    <xf numFmtId="1" fontId="5" fillId="11" borderId="27" xfId="0" applyNumberFormat="1" applyFont="1" applyFill="1" applyBorder="1" applyAlignment="1">
      <alignment horizontal="center" vertical="center"/>
    </xf>
    <xf numFmtId="20" fontId="5" fillId="10" borderId="59" xfId="0" applyNumberFormat="1" applyFont="1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0" fontId="5" fillId="10" borderId="66" xfId="0" applyFont="1" applyFill="1" applyBorder="1" applyAlignment="1">
      <alignment horizontal="center" vertical="center"/>
    </xf>
    <xf numFmtId="0" fontId="5" fillId="10" borderId="59" xfId="0" applyFont="1" applyFill="1" applyBorder="1" applyAlignment="1">
      <alignment horizontal="center" vertical="center"/>
    </xf>
    <xf numFmtId="2" fontId="5" fillId="10" borderId="59" xfId="0" applyNumberFormat="1" applyFont="1" applyFill="1" applyBorder="1" applyAlignment="1">
      <alignment horizontal="center" vertical="center"/>
    </xf>
    <xf numFmtId="49" fontId="5" fillId="10" borderId="66" xfId="0" applyNumberFormat="1" applyFont="1" applyFill="1" applyBorder="1" applyAlignment="1">
      <alignment horizontal="center" vertical="center"/>
    </xf>
    <xf numFmtId="3" fontId="5" fillId="10" borderId="41" xfId="0" applyNumberFormat="1" applyFont="1" applyFill="1" applyBorder="1" applyAlignment="1">
      <alignment horizontal="center" vertical="center"/>
    </xf>
    <xf numFmtId="3" fontId="5" fillId="10" borderId="72" xfId="0" applyNumberFormat="1" applyFont="1" applyFill="1" applyBorder="1" applyAlignment="1">
      <alignment horizontal="center" vertical="center"/>
    </xf>
    <xf numFmtId="0" fontId="0" fillId="10" borderId="10" xfId="0" applyFill="1" applyBorder="1"/>
    <xf numFmtId="165" fontId="0" fillId="10" borderId="40" xfId="0" applyNumberFormat="1" applyFill="1" applyBorder="1"/>
    <xf numFmtId="0" fontId="23" fillId="10" borderId="41" xfId="0" applyFont="1" applyFill="1" applyBorder="1" applyAlignment="1">
      <alignment horizontal="center" vertical="center"/>
    </xf>
    <xf numFmtId="0" fontId="23" fillId="10" borderId="60" xfId="0" applyFont="1" applyFill="1" applyBorder="1" applyAlignment="1">
      <alignment horizontal="center" vertical="center"/>
    </xf>
    <xf numFmtId="14" fontId="5" fillId="16" borderId="25" xfId="0" applyNumberFormat="1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34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2" fontId="5" fillId="16" borderId="12" xfId="0" applyNumberFormat="1" applyFont="1" applyFill="1" applyBorder="1" applyAlignment="1">
      <alignment horizontal="center" vertical="center"/>
    </xf>
    <xf numFmtId="3" fontId="5" fillId="16" borderId="27" xfId="0" applyNumberFormat="1" applyFont="1" applyFill="1" applyBorder="1" applyAlignment="1">
      <alignment horizontal="center" vertical="center"/>
    </xf>
    <xf numFmtId="0" fontId="5" fillId="16" borderId="25" xfId="0" applyFont="1" applyFill="1" applyBorder="1" applyAlignment="1">
      <alignment horizontal="center" vertical="center"/>
    </xf>
    <xf numFmtId="0" fontId="5" fillId="16" borderId="27" xfId="0" applyFont="1" applyFill="1" applyBorder="1" applyAlignment="1">
      <alignment horizontal="center" vertical="center"/>
    </xf>
    <xf numFmtId="0" fontId="0" fillId="16" borderId="27" xfId="0" applyFill="1" applyBorder="1"/>
    <xf numFmtId="0" fontId="0" fillId="16" borderId="0" xfId="0" applyFill="1"/>
    <xf numFmtId="3" fontId="23" fillId="0" borderId="27" xfId="0" applyNumberFormat="1" applyFont="1" applyFill="1" applyBorder="1" applyAlignment="1">
      <alignment horizontal="center" vertical="center"/>
    </xf>
    <xf numFmtId="20" fontId="5" fillId="16" borderId="11" xfId="0" applyNumberFormat="1" applyFont="1" applyFill="1" applyBorder="1" applyAlignment="1">
      <alignment horizontal="center" vertical="center"/>
    </xf>
    <xf numFmtId="164" fontId="11" fillId="16" borderId="25" xfId="0" applyNumberFormat="1" applyFont="1" applyFill="1" applyBorder="1" applyAlignment="1">
      <alignment horizontal="center" vertical="center"/>
    </xf>
    <xf numFmtId="3" fontId="5" fillId="16" borderId="10" xfId="0" applyNumberFormat="1" applyFont="1" applyFill="1" applyBorder="1" applyAlignment="1">
      <alignment horizontal="center" vertical="center"/>
    </xf>
    <xf numFmtId="164" fontId="5" fillId="16" borderId="10" xfId="0" applyNumberFormat="1" applyFont="1" applyFill="1" applyBorder="1" applyAlignment="1">
      <alignment horizontal="center" vertical="center"/>
    </xf>
    <xf numFmtId="164" fontId="11" fillId="16" borderId="10" xfId="0" applyNumberFormat="1" applyFont="1" applyFill="1" applyBorder="1" applyAlignment="1">
      <alignment horizontal="center" vertical="center"/>
    </xf>
    <xf numFmtId="1" fontId="11" fillId="16" borderId="27" xfId="0" applyNumberFormat="1" applyFont="1" applyFill="1" applyBorder="1" applyAlignment="1">
      <alignment horizontal="center" vertical="center"/>
    </xf>
    <xf numFmtId="1" fontId="5" fillId="16" borderId="10" xfId="0" applyNumberFormat="1" applyFont="1" applyFill="1" applyBorder="1" applyAlignment="1">
      <alignment horizontal="center" vertical="center"/>
    </xf>
    <xf numFmtId="2" fontId="5" fillId="16" borderId="10" xfId="0" applyNumberFormat="1" applyFont="1" applyFill="1" applyBorder="1" applyAlignment="1">
      <alignment horizontal="center" vertical="center"/>
    </xf>
    <xf numFmtId="164" fontId="5" fillId="16" borderId="29" xfId="0" applyNumberFormat="1" applyFont="1" applyFill="1" applyBorder="1" applyAlignment="1">
      <alignment horizontal="center" vertical="center"/>
    </xf>
    <xf numFmtId="165" fontId="11" fillId="16" borderId="10" xfId="0" applyNumberFormat="1" applyFont="1" applyFill="1" applyBorder="1" applyAlignment="1">
      <alignment horizontal="center" vertical="center"/>
    </xf>
    <xf numFmtId="3" fontId="5" fillId="16" borderId="37" xfId="0" applyNumberFormat="1" applyFont="1" applyFill="1" applyBorder="1" applyAlignment="1">
      <alignment horizontal="center" vertical="center"/>
    </xf>
    <xf numFmtId="3" fontId="11" fillId="16" borderId="27" xfId="0" applyNumberFormat="1" applyFont="1" applyFill="1" applyBorder="1" applyAlignment="1">
      <alignment horizontal="center" vertical="center"/>
    </xf>
    <xf numFmtId="2" fontId="23" fillId="10" borderId="9" xfId="0" applyNumberFormat="1" applyFont="1" applyFill="1" applyBorder="1" applyAlignment="1">
      <alignment horizontal="center" vertical="center"/>
    </xf>
    <xf numFmtId="2" fontId="23" fillId="10" borderId="10" xfId="0" applyNumberFormat="1" applyFont="1" applyFill="1" applyBorder="1" applyAlignment="1">
      <alignment horizontal="center" vertical="center"/>
    </xf>
    <xf numFmtId="2" fontId="5" fillId="16" borderId="26" xfId="0" applyNumberFormat="1" applyFont="1" applyFill="1" applyBorder="1" applyAlignment="1">
      <alignment horizontal="center" vertical="center"/>
    </xf>
    <xf numFmtId="4" fontId="5" fillId="16" borderId="44" xfId="0" applyNumberFormat="1" applyFont="1" applyFill="1" applyBorder="1" applyAlignment="1">
      <alignment horizontal="center" vertical="center"/>
    </xf>
    <xf numFmtId="164" fontId="5" fillId="16" borderId="44" xfId="0" applyNumberFormat="1" applyFont="1" applyFill="1" applyBorder="1" applyAlignment="1">
      <alignment horizontal="center" vertical="center"/>
    </xf>
    <xf numFmtId="164" fontId="5" fillId="16" borderId="15" xfId="0" applyNumberFormat="1" applyFont="1" applyFill="1" applyBorder="1" applyAlignment="1">
      <alignment horizontal="center" vertical="center"/>
    </xf>
    <xf numFmtId="2" fontId="11" fillId="10" borderId="10" xfId="0" applyNumberFormat="1" applyFont="1" applyFill="1" applyBorder="1" applyAlignment="1">
      <alignment horizontal="center" vertical="center"/>
    </xf>
    <xf numFmtId="0" fontId="20" fillId="10" borderId="27" xfId="0" applyFont="1" applyFill="1" applyBorder="1"/>
    <xf numFmtId="14" fontId="5" fillId="0" borderId="0" xfId="0" applyNumberFormat="1" applyFont="1" applyFill="1" applyBorder="1" applyAlignment="1">
      <alignment horizontal="center" vertical="center"/>
    </xf>
    <xf numFmtId="14" fontId="5" fillId="0" borderId="23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2" fontId="11" fillId="0" borderId="2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17" xfId="0" applyBorder="1"/>
    <xf numFmtId="0" fontId="0" fillId="4" borderId="23" xfId="0" applyFill="1" applyBorder="1"/>
    <xf numFmtId="2" fontId="11" fillId="10" borderId="9" xfId="0" applyNumberFormat="1" applyFont="1" applyFill="1" applyBorder="1" applyAlignment="1">
      <alignment horizontal="center" vertical="center"/>
    </xf>
    <xf numFmtId="20" fontId="5" fillId="0" borderId="18" xfId="0" applyNumberFormat="1" applyFont="1" applyFill="1" applyBorder="1" applyAlignment="1">
      <alignment horizontal="center" vertical="center"/>
    </xf>
    <xf numFmtId="164" fontId="11" fillId="0" borderId="81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5" fontId="11" fillId="9" borderId="17" xfId="0" applyNumberFormat="1" applyFont="1" applyFill="1" applyBorder="1" applyAlignment="1">
      <alignment horizontal="center" vertical="center"/>
    </xf>
    <xf numFmtId="3" fontId="11" fillId="9" borderId="17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9" borderId="17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wrapText="1"/>
    </xf>
    <xf numFmtId="14" fontId="5" fillId="17" borderId="25" xfId="0" applyNumberFormat="1" applyFont="1" applyFill="1" applyBorder="1" applyAlignment="1">
      <alignment horizontal="center" vertical="center"/>
    </xf>
    <xf numFmtId="20" fontId="5" fillId="17" borderId="11" xfId="0" applyNumberFormat="1" applyFont="1" applyFill="1" applyBorder="1" applyAlignment="1">
      <alignment horizontal="center" vertical="center"/>
    </xf>
    <xf numFmtId="164" fontId="11" fillId="17" borderId="25" xfId="0" applyNumberFormat="1" applyFont="1" applyFill="1" applyBorder="1" applyAlignment="1">
      <alignment horizontal="center" vertical="center"/>
    </xf>
    <xf numFmtId="0" fontId="5" fillId="17" borderId="9" xfId="0" applyFont="1" applyFill="1" applyBorder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5" fillId="17" borderId="34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2" fontId="11" fillId="17" borderId="12" xfId="0" applyNumberFormat="1" applyFont="1" applyFill="1" applyBorder="1" applyAlignment="1">
      <alignment horizontal="center" vertical="center"/>
    </xf>
    <xf numFmtId="1" fontId="5" fillId="17" borderId="9" xfId="0" applyNumberFormat="1" applyFont="1" applyFill="1" applyBorder="1" applyAlignment="1">
      <alignment horizontal="center" vertical="center"/>
    </xf>
    <xf numFmtId="2" fontId="13" fillId="17" borderId="10" xfId="0" applyNumberFormat="1" applyFont="1" applyFill="1" applyBorder="1" applyAlignment="1">
      <alignment horizontal="center" vertical="center"/>
    </xf>
    <xf numFmtId="2" fontId="13" fillId="17" borderId="25" xfId="0" applyNumberFormat="1" applyFont="1" applyFill="1" applyBorder="1" applyAlignment="1">
      <alignment horizontal="center" vertical="center"/>
    </xf>
    <xf numFmtId="0" fontId="5" fillId="17" borderId="25" xfId="0" applyFont="1" applyFill="1" applyBorder="1" applyAlignment="1">
      <alignment horizontal="center" vertical="center"/>
    </xf>
    <xf numFmtId="0" fontId="11" fillId="17" borderId="9" xfId="0" applyFont="1" applyFill="1" applyBorder="1" applyAlignment="1">
      <alignment horizontal="center" vertical="center"/>
    </xf>
    <xf numFmtId="165" fontId="23" fillId="17" borderId="10" xfId="0" applyNumberFormat="1" applyFont="1" applyFill="1" applyBorder="1" applyAlignment="1">
      <alignment horizontal="center" vertical="center"/>
    </xf>
    <xf numFmtId="3" fontId="11" fillId="17" borderId="10" xfId="0" applyNumberFormat="1" applyFont="1" applyFill="1" applyBorder="1" applyAlignment="1">
      <alignment horizontal="center" vertical="center"/>
    </xf>
    <xf numFmtId="165" fontId="11" fillId="17" borderId="10" xfId="0" applyNumberFormat="1" applyFont="1" applyFill="1" applyBorder="1" applyAlignment="1">
      <alignment horizontal="center" vertical="center"/>
    </xf>
    <xf numFmtId="164" fontId="11" fillId="17" borderId="10" xfId="0" applyNumberFormat="1" applyFont="1" applyFill="1" applyBorder="1" applyAlignment="1">
      <alignment horizontal="center" vertical="center"/>
    </xf>
    <xf numFmtId="3" fontId="5" fillId="17" borderId="10" xfId="0" applyNumberFormat="1" applyFont="1" applyFill="1" applyBorder="1" applyAlignment="1">
      <alignment horizontal="center" vertical="center"/>
    </xf>
    <xf numFmtId="2" fontId="5" fillId="17" borderId="10" xfId="0" applyNumberFormat="1" applyFont="1" applyFill="1" applyBorder="1" applyAlignment="1">
      <alignment horizontal="center" vertical="center"/>
    </xf>
    <xf numFmtId="0" fontId="23" fillId="17" borderId="10" xfId="0" applyFont="1" applyFill="1" applyBorder="1" applyAlignment="1">
      <alignment horizontal="center" vertical="center"/>
    </xf>
    <xf numFmtId="0" fontId="0" fillId="17" borderId="10" xfId="0" applyFill="1" applyBorder="1" applyAlignment="1">
      <alignment wrapText="1"/>
    </xf>
    <xf numFmtId="0" fontId="26" fillId="17" borderId="0" xfId="0" applyFont="1" applyFill="1" applyAlignment="1">
      <alignment vertical="center"/>
    </xf>
    <xf numFmtId="0" fontId="0" fillId="17" borderId="0" xfId="0" applyFill="1"/>
    <xf numFmtId="2" fontId="23" fillId="17" borderId="9" xfId="0" applyNumberFormat="1" applyFont="1" applyFill="1" applyBorder="1" applyAlignment="1">
      <alignment horizontal="center" vertical="center"/>
    </xf>
    <xf numFmtId="2" fontId="23" fillId="17" borderId="10" xfId="0" applyNumberFormat="1" applyFont="1" applyFill="1" applyBorder="1" applyAlignment="1">
      <alignment horizontal="center" vertical="center"/>
    </xf>
    <xf numFmtId="164" fontId="23" fillId="17" borderId="9" xfId="0" applyNumberFormat="1" applyFont="1" applyFill="1" applyBorder="1" applyAlignment="1">
      <alignment horizontal="center" vertical="center"/>
    </xf>
    <xf numFmtId="2" fontId="13" fillId="10" borderId="25" xfId="0" applyNumberFormat="1" applyFont="1" applyFill="1" applyBorder="1" applyAlignment="1">
      <alignment horizontal="center" vertical="center"/>
    </xf>
    <xf numFmtId="4" fontId="0" fillId="9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0" fontId="7" fillId="18" borderId="17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18" borderId="31" xfId="0" applyFont="1" applyFill="1" applyBorder="1" applyAlignment="1">
      <alignment horizontal="center" vertical="center" wrapText="1"/>
    </xf>
    <xf numFmtId="165" fontId="0" fillId="9" borderId="0" xfId="0" applyNumberFormat="1" applyFill="1" applyAlignment="1">
      <alignment horizontal="center"/>
    </xf>
    <xf numFmtId="20" fontId="5" fillId="9" borderId="11" xfId="0" applyNumberFormat="1" applyFont="1" applyFill="1" applyBorder="1" applyAlignment="1">
      <alignment horizontal="center" vertical="center"/>
    </xf>
    <xf numFmtId="164" fontId="11" fillId="9" borderId="25" xfId="0" applyNumberFormat="1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2" fontId="11" fillId="9" borderId="12" xfId="0" applyNumberFormat="1" applyFont="1" applyFill="1" applyBorder="1" applyAlignment="1">
      <alignment horizontal="center" vertical="center"/>
    </xf>
    <xf numFmtId="1" fontId="5" fillId="9" borderId="9" xfId="0" applyNumberFormat="1" applyFont="1" applyFill="1" applyBorder="1" applyAlignment="1">
      <alignment horizontal="center" vertical="center"/>
    </xf>
    <xf numFmtId="2" fontId="13" fillId="9" borderId="10" xfId="0" applyNumberFormat="1" applyFont="1" applyFill="1" applyBorder="1" applyAlignment="1">
      <alignment horizontal="center" vertical="center"/>
    </xf>
    <xf numFmtId="2" fontId="13" fillId="9" borderId="25" xfId="0" applyNumberFormat="1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164" fontId="5" fillId="9" borderId="10" xfId="0" applyNumberFormat="1" applyFont="1" applyFill="1" applyBorder="1" applyAlignment="1">
      <alignment horizontal="center" vertical="center"/>
    </xf>
    <xf numFmtId="164" fontId="11" fillId="9" borderId="10" xfId="0" applyNumberFormat="1" applyFont="1" applyFill="1" applyBorder="1" applyAlignment="1">
      <alignment horizontal="center" vertical="center"/>
    </xf>
    <xf numFmtId="1" fontId="11" fillId="9" borderId="27" xfId="0" applyNumberFormat="1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0" fillId="9" borderId="27" xfId="0" applyFill="1" applyBorder="1"/>
    <xf numFmtId="0" fontId="0" fillId="9" borderId="0" xfId="0" applyFill="1"/>
    <xf numFmtId="2" fontId="5" fillId="17" borderId="26" xfId="0" applyNumberFormat="1" applyFont="1" applyFill="1" applyBorder="1" applyAlignment="1">
      <alignment horizontal="center" vertical="center"/>
    </xf>
    <xf numFmtId="4" fontId="5" fillId="17" borderId="44" xfId="0" applyNumberFormat="1" applyFont="1" applyFill="1" applyBorder="1" applyAlignment="1">
      <alignment horizontal="center" vertical="center"/>
    </xf>
    <xf numFmtId="164" fontId="5" fillId="17" borderId="44" xfId="0" applyNumberFormat="1" applyFont="1" applyFill="1" applyBorder="1" applyAlignment="1">
      <alignment horizontal="center" vertical="center"/>
    </xf>
    <xf numFmtId="164" fontId="5" fillId="17" borderId="15" xfId="0" applyNumberFormat="1" applyFont="1" applyFill="1" applyBorder="1" applyAlignment="1">
      <alignment horizontal="center" vertical="center"/>
    </xf>
    <xf numFmtId="164" fontId="5" fillId="17" borderId="33" xfId="0" applyNumberFormat="1" applyFont="1" applyFill="1" applyBorder="1" applyAlignment="1">
      <alignment horizontal="center" vertical="center"/>
    </xf>
    <xf numFmtId="4" fontId="5" fillId="17" borderId="33" xfId="0" applyNumberFormat="1" applyFont="1" applyFill="1" applyBorder="1" applyAlignment="1">
      <alignment horizontal="center" vertical="center"/>
    </xf>
    <xf numFmtId="165" fontId="5" fillId="17" borderId="33" xfId="0" applyNumberFormat="1" applyFont="1" applyFill="1" applyBorder="1" applyAlignment="1">
      <alignment horizontal="center" vertical="center"/>
    </xf>
    <xf numFmtId="165" fontId="5" fillId="17" borderId="10" xfId="0" applyNumberFormat="1" applyFont="1" applyFill="1" applyBorder="1" applyAlignment="1">
      <alignment horizontal="center" vertical="center"/>
    </xf>
    <xf numFmtId="4" fontId="5" fillId="17" borderId="25" xfId="0" applyNumberFormat="1" applyFont="1" applyFill="1" applyBorder="1" applyAlignment="1">
      <alignment horizontal="center" vertical="center"/>
    </xf>
    <xf numFmtId="4" fontId="5" fillId="17" borderId="10" xfId="0" applyNumberFormat="1" applyFont="1" applyFill="1" applyBorder="1" applyAlignment="1">
      <alignment horizontal="center" vertical="center"/>
    </xf>
    <xf numFmtId="164" fontId="5" fillId="17" borderId="12" xfId="0" applyNumberFormat="1" applyFont="1" applyFill="1" applyBorder="1" applyAlignment="1">
      <alignment horizontal="center" vertical="center"/>
    </xf>
    <xf numFmtId="164" fontId="10" fillId="10" borderId="29" xfId="0" applyNumberFormat="1" applyFont="1" applyFill="1" applyBorder="1" applyAlignment="1">
      <alignment horizontal="center" vertical="center"/>
    </xf>
    <xf numFmtId="164" fontId="5" fillId="11" borderId="52" xfId="0" applyNumberFormat="1" applyFont="1" applyFill="1" applyBorder="1" applyAlignment="1">
      <alignment horizontal="center" vertical="center"/>
    </xf>
    <xf numFmtId="0" fontId="5" fillId="11" borderId="52" xfId="0" applyFont="1" applyFill="1" applyBorder="1" applyAlignment="1">
      <alignment horizontal="center" vertical="center"/>
    </xf>
    <xf numFmtId="1" fontId="13" fillId="11" borderId="9" xfId="0" applyNumberFormat="1" applyFont="1" applyFill="1" applyBorder="1" applyAlignment="1">
      <alignment horizontal="center" vertical="center"/>
    </xf>
    <xf numFmtId="2" fontId="13" fillId="11" borderId="33" xfId="0" applyNumberFormat="1" applyFont="1" applyFill="1" applyBorder="1" applyAlignment="1">
      <alignment horizontal="center" vertical="center"/>
    </xf>
    <xf numFmtId="2" fontId="13" fillId="11" borderId="11" xfId="0" applyNumberFormat="1" applyFont="1" applyFill="1" applyBorder="1" applyAlignment="1">
      <alignment horizontal="center" vertical="center"/>
    </xf>
    <xf numFmtId="164" fontId="5" fillId="11" borderId="9" xfId="0" applyNumberFormat="1" applyFont="1" applyFill="1" applyBorder="1" applyAlignment="1">
      <alignment horizontal="center" vertical="center"/>
    </xf>
    <xf numFmtId="0" fontId="5" fillId="11" borderId="44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1" fontId="5" fillId="11" borderId="9" xfId="0" applyNumberFormat="1" applyFont="1" applyFill="1" applyBorder="1" applyAlignment="1">
      <alignment horizontal="center" vertical="center"/>
    </xf>
    <xf numFmtId="2" fontId="13" fillId="11" borderId="27" xfId="0" applyNumberFormat="1" applyFont="1" applyFill="1" applyBorder="1" applyAlignment="1">
      <alignment horizontal="center" vertical="center"/>
    </xf>
    <xf numFmtId="2" fontId="13" fillId="11" borderId="15" xfId="0" applyNumberFormat="1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2" fontId="13" fillId="11" borderId="10" xfId="0" applyNumberFormat="1" applyFont="1" applyFill="1" applyBorder="1" applyAlignment="1">
      <alignment horizontal="center" vertical="center"/>
    </xf>
    <xf numFmtId="2" fontId="13" fillId="11" borderId="12" xfId="0" applyNumberFormat="1" applyFont="1" applyFill="1" applyBorder="1" applyAlignment="1">
      <alignment horizontal="center" vertical="center"/>
    </xf>
    <xf numFmtId="2" fontId="13" fillId="11" borderId="45" xfId="0" applyNumberFormat="1" applyFont="1" applyFill="1" applyBorder="1" applyAlignment="1">
      <alignment horizontal="center" vertical="center"/>
    </xf>
    <xf numFmtId="1" fontId="5" fillId="11" borderId="30" xfId="0" applyNumberFormat="1" applyFont="1" applyFill="1" applyBorder="1" applyAlignment="1">
      <alignment horizontal="center" vertical="center"/>
    </xf>
    <xf numFmtId="2" fontId="13" fillId="11" borderId="31" xfId="0" applyNumberFormat="1" applyFont="1" applyFill="1" applyBorder="1" applyAlignment="1">
      <alignment horizontal="center" vertical="center"/>
    </xf>
    <xf numFmtId="2" fontId="13" fillId="11" borderId="36" xfId="0" applyNumberFormat="1" applyFont="1" applyFill="1" applyBorder="1" applyAlignment="1">
      <alignment horizontal="center" vertical="center"/>
    </xf>
    <xf numFmtId="1" fontId="5" fillId="11" borderId="60" xfId="0" applyNumberFormat="1" applyFont="1" applyFill="1" applyBorder="1" applyAlignment="1">
      <alignment horizontal="center" vertical="center"/>
    </xf>
    <xf numFmtId="2" fontId="13" fillId="11" borderId="41" xfId="0" applyNumberFormat="1" applyFont="1" applyFill="1" applyBorder="1" applyAlignment="1">
      <alignment horizontal="center" vertical="center"/>
    </xf>
    <xf numFmtId="2" fontId="13" fillId="11" borderId="61" xfId="0" applyNumberFormat="1" applyFont="1" applyFill="1" applyBorder="1" applyAlignment="1">
      <alignment horizontal="center" vertical="center"/>
    </xf>
    <xf numFmtId="2" fontId="13" fillId="11" borderId="0" xfId="0" applyNumberFormat="1" applyFont="1" applyFill="1" applyBorder="1" applyAlignment="1">
      <alignment horizontal="center" vertical="center"/>
    </xf>
    <xf numFmtId="1" fontId="5" fillId="11" borderId="26" xfId="0" applyNumberFormat="1" applyFont="1" applyFill="1" applyBorder="1" applyAlignment="1">
      <alignment horizontal="center" vertical="center"/>
    </xf>
    <xf numFmtId="2" fontId="13" fillId="11" borderId="44" xfId="0" applyNumberFormat="1" applyFont="1" applyFill="1" applyBorder="1" applyAlignment="1">
      <alignment horizontal="center" vertical="center"/>
    </xf>
    <xf numFmtId="2" fontId="13" fillId="11" borderId="25" xfId="0" applyNumberFormat="1" applyFont="1" applyFill="1" applyBorder="1" applyAlignment="1">
      <alignment horizontal="center" vertical="center"/>
    </xf>
    <xf numFmtId="1" fontId="11" fillId="11" borderId="26" xfId="0" applyNumberFormat="1" applyFont="1" applyFill="1" applyBorder="1" applyAlignment="1">
      <alignment horizontal="center" vertical="center"/>
    </xf>
    <xf numFmtId="1" fontId="5" fillId="11" borderId="16" xfId="0" applyNumberFormat="1" applyFont="1" applyFill="1" applyBorder="1" applyAlignment="1">
      <alignment horizontal="center" vertical="center"/>
    </xf>
    <xf numFmtId="2" fontId="13" fillId="11" borderId="17" xfId="0" applyNumberFormat="1" applyFont="1" applyFill="1" applyBorder="1" applyAlignment="1">
      <alignment horizontal="center" vertical="center"/>
    </xf>
    <xf numFmtId="2" fontId="13" fillId="11" borderId="23" xfId="0" applyNumberFormat="1" applyFont="1" applyFill="1" applyBorder="1" applyAlignment="1">
      <alignment horizontal="center" vertical="center"/>
    </xf>
    <xf numFmtId="4" fontId="23" fillId="10" borderId="44" xfId="0" applyNumberFormat="1" applyFont="1" applyFill="1" applyBorder="1" applyAlignment="1">
      <alignment horizontal="center" vertical="center"/>
    </xf>
    <xf numFmtId="164" fontId="23" fillId="10" borderId="9" xfId="0" applyNumberFormat="1" applyFont="1" applyFill="1" applyBorder="1" applyAlignment="1">
      <alignment horizontal="center" vertical="center"/>
    </xf>
    <xf numFmtId="1" fontId="23" fillId="0" borderId="9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25" xfId="0" applyNumberFormat="1" applyFont="1" applyFill="1" applyBorder="1" applyAlignment="1">
      <alignment horizontal="center" vertical="center"/>
    </xf>
    <xf numFmtId="9" fontId="0" fillId="0" borderId="0" xfId="0" applyNumberFormat="1"/>
    <xf numFmtId="1" fontId="11" fillId="0" borderId="30" xfId="0" applyNumberFormat="1" applyFont="1" applyFill="1" applyBorder="1" applyAlignment="1">
      <alignment horizontal="center" vertical="center"/>
    </xf>
    <xf numFmtId="2" fontId="13" fillId="0" borderId="3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164" fontId="10" fillId="0" borderId="62" xfId="0" applyNumberFormat="1" applyFont="1" applyFill="1" applyBorder="1" applyAlignment="1">
      <alignment horizontal="center" vertical="center"/>
    </xf>
    <xf numFmtId="164" fontId="5" fillId="0" borderId="62" xfId="0" applyNumberFormat="1" applyFont="1" applyFill="1" applyBorder="1" applyAlignment="1">
      <alignment horizontal="center" vertical="center"/>
    </xf>
    <xf numFmtId="14" fontId="5" fillId="10" borderId="82" xfId="0" applyNumberFormat="1" applyFont="1" applyFill="1" applyBorder="1" applyAlignment="1">
      <alignment horizontal="center" vertical="center"/>
    </xf>
    <xf numFmtId="0" fontId="23" fillId="10" borderId="83" xfId="0" applyFont="1" applyFill="1" applyBorder="1" applyAlignment="1">
      <alignment horizontal="center" vertical="center"/>
    </xf>
    <xf numFmtId="0" fontId="5" fillId="10" borderId="83" xfId="0" applyFont="1" applyFill="1" applyBorder="1" applyAlignment="1">
      <alignment horizontal="center" vertical="center"/>
    </xf>
    <xf numFmtId="0" fontId="5" fillId="10" borderId="84" xfId="0" applyFont="1" applyFill="1" applyBorder="1" applyAlignment="1">
      <alignment horizontal="center" vertical="center"/>
    </xf>
    <xf numFmtId="0" fontId="5" fillId="10" borderId="85" xfId="0" applyFont="1" applyFill="1" applyBorder="1" applyAlignment="1">
      <alignment horizontal="center" vertical="center"/>
    </xf>
    <xf numFmtId="2" fontId="5" fillId="10" borderId="86" xfId="0" applyNumberFormat="1" applyFont="1" applyFill="1" applyBorder="1" applyAlignment="1">
      <alignment horizontal="center" vertical="center"/>
    </xf>
    <xf numFmtId="0" fontId="5" fillId="10" borderId="87" xfId="0" applyFont="1" applyFill="1" applyBorder="1" applyAlignment="1">
      <alignment horizontal="center" vertical="center"/>
    </xf>
    <xf numFmtId="0" fontId="5" fillId="10" borderId="82" xfId="0" applyFont="1" applyFill="1" applyBorder="1" applyAlignment="1">
      <alignment horizontal="center" vertical="center"/>
    </xf>
    <xf numFmtId="3" fontId="5" fillId="10" borderId="83" xfId="0" applyNumberFormat="1" applyFont="1" applyFill="1" applyBorder="1" applyAlignment="1">
      <alignment horizontal="center" vertical="center"/>
    </xf>
    <xf numFmtId="0" fontId="0" fillId="10" borderId="88" xfId="0" applyFill="1" applyBorder="1"/>
    <xf numFmtId="4" fontId="11" fillId="10" borderId="44" xfId="0" applyNumberFormat="1" applyFont="1" applyFill="1" applyBorder="1" applyAlignment="1">
      <alignment horizontal="center" vertical="center"/>
    </xf>
    <xf numFmtId="164" fontId="23" fillId="10" borderId="87" xfId="0" applyNumberFormat="1" applyFont="1" applyFill="1" applyBorder="1" applyAlignment="1">
      <alignment horizontal="center" vertical="center"/>
    </xf>
    <xf numFmtId="2" fontId="23" fillId="10" borderId="87" xfId="0" applyNumberFormat="1" applyFont="1" applyFill="1" applyBorder="1" applyAlignment="1">
      <alignment horizontal="center" vertical="center"/>
    </xf>
    <xf numFmtId="164" fontId="5" fillId="10" borderId="89" xfId="0" applyNumberFormat="1" applyFont="1" applyFill="1" applyBorder="1" applyAlignment="1">
      <alignment horizontal="center" vertical="center"/>
    </xf>
    <xf numFmtId="4" fontId="5" fillId="10" borderId="90" xfId="0" applyNumberFormat="1" applyFont="1" applyFill="1" applyBorder="1" applyAlignment="1">
      <alignment horizontal="center" vertical="center"/>
    </xf>
    <xf numFmtId="165" fontId="5" fillId="10" borderId="90" xfId="0" applyNumberFormat="1" applyFont="1" applyFill="1" applyBorder="1" applyAlignment="1">
      <alignment horizontal="center" vertical="center"/>
    </xf>
    <xf numFmtId="165" fontId="5" fillId="10" borderId="91" xfId="0" applyNumberFormat="1" applyFont="1" applyFill="1" applyBorder="1" applyAlignment="1">
      <alignment horizontal="center" vertical="center"/>
    </xf>
    <xf numFmtId="4" fontId="5" fillId="10" borderId="92" xfId="0" applyNumberFormat="1" applyFont="1" applyFill="1" applyBorder="1" applyAlignment="1">
      <alignment horizontal="center" vertical="center"/>
    </xf>
    <xf numFmtId="4" fontId="5" fillId="10" borderId="91" xfId="0" applyNumberFormat="1" applyFont="1" applyFill="1" applyBorder="1" applyAlignment="1">
      <alignment horizontal="center" vertical="center"/>
    </xf>
    <xf numFmtId="164" fontId="5" fillId="10" borderId="93" xfId="0" applyNumberFormat="1" applyFont="1" applyFill="1" applyBorder="1" applyAlignment="1">
      <alignment horizontal="center" vertical="center"/>
    </xf>
    <xf numFmtId="2" fontId="5" fillId="10" borderId="89" xfId="0" applyNumberFormat="1" applyFont="1" applyFill="1" applyBorder="1" applyAlignment="1">
      <alignment horizontal="center" vertical="center"/>
    </xf>
    <xf numFmtId="4" fontId="11" fillId="10" borderId="90" xfId="0" applyNumberFormat="1" applyFont="1" applyFill="1" applyBorder="1" applyAlignment="1">
      <alignment horizontal="center" vertical="center"/>
    </xf>
    <xf numFmtId="164" fontId="5" fillId="10" borderId="90" xfId="0" applyNumberFormat="1" applyFont="1" applyFill="1" applyBorder="1" applyAlignment="1">
      <alignment horizontal="center" vertical="center"/>
    </xf>
    <xf numFmtId="1" fontId="5" fillId="17" borderId="10" xfId="0" applyNumberFormat="1" applyFont="1" applyFill="1" applyBorder="1" applyAlignment="1">
      <alignment horizontal="center" vertical="center"/>
    </xf>
    <xf numFmtId="1" fontId="5" fillId="10" borderId="83" xfId="0" applyNumberFormat="1" applyFont="1" applyFill="1" applyBorder="1" applyAlignment="1">
      <alignment horizontal="center" vertical="center"/>
    </xf>
    <xf numFmtId="164" fontId="11" fillId="10" borderId="29" xfId="0" applyNumberFormat="1" applyFont="1" applyFill="1" applyBorder="1" applyAlignment="1">
      <alignment horizontal="center" vertical="center"/>
    </xf>
    <xf numFmtId="1" fontId="11" fillId="10" borderId="87" xfId="0" applyNumberFormat="1" applyFont="1" applyFill="1" applyBorder="1" applyAlignment="1">
      <alignment horizontal="center" vertical="center"/>
    </xf>
    <xf numFmtId="2" fontId="13" fillId="10" borderId="83" xfId="0" applyNumberFormat="1" applyFont="1" applyFill="1" applyBorder="1" applyAlignment="1">
      <alignment horizontal="center" vertical="center"/>
    </xf>
    <xf numFmtId="2" fontId="13" fillId="10" borderId="94" xfId="0" applyNumberFormat="1" applyFont="1" applyFill="1" applyBorder="1" applyAlignment="1">
      <alignment horizontal="center" vertical="center"/>
    </xf>
    <xf numFmtId="1" fontId="5" fillId="9" borderId="83" xfId="0" applyNumberFormat="1" applyFont="1" applyFill="1" applyBorder="1" applyAlignment="1">
      <alignment horizontal="center" vertical="center"/>
    </xf>
    <xf numFmtId="0" fontId="23" fillId="10" borderId="85" xfId="0" applyFont="1" applyFill="1" applyBorder="1" applyAlignment="1">
      <alignment horizontal="center" vertical="center" wrapText="1"/>
    </xf>
    <xf numFmtId="1" fontId="5" fillId="10" borderId="26" xfId="0" applyNumberFormat="1" applyFont="1" applyFill="1" applyBorder="1" applyAlignment="1">
      <alignment horizontal="center" vertical="center"/>
    </xf>
    <xf numFmtId="2" fontId="13" fillId="10" borderId="27" xfId="0" applyNumberFormat="1" applyFont="1" applyFill="1" applyBorder="1" applyAlignment="1">
      <alignment horizontal="center" vertical="center"/>
    </xf>
    <xf numFmtId="2" fontId="13" fillId="10" borderId="44" xfId="0" applyNumberFormat="1" applyFont="1" applyFill="1" applyBorder="1" applyAlignment="1">
      <alignment horizontal="center" vertical="center"/>
    </xf>
    <xf numFmtId="0" fontId="28" fillId="10" borderId="87" xfId="0" applyFont="1" applyFill="1" applyBorder="1" applyAlignment="1">
      <alignment horizontal="center" vertical="center"/>
    </xf>
    <xf numFmtId="0" fontId="28" fillId="10" borderId="83" xfId="0" applyFont="1" applyFill="1" applyBorder="1" applyAlignment="1">
      <alignment horizontal="center" vertical="center"/>
    </xf>
    <xf numFmtId="0" fontId="28" fillId="10" borderId="9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3" fontId="5" fillId="9" borderId="34" xfId="0" applyNumberFormat="1" applyFont="1" applyFill="1" applyBorder="1" applyAlignment="1">
      <alignment horizontal="center" vertical="center"/>
    </xf>
    <xf numFmtId="1" fontId="5" fillId="9" borderId="26" xfId="0" applyNumberFormat="1" applyFont="1" applyFill="1" applyBorder="1" applyAlignment="1">
      <alignment horizontal="center" vertical="center"/>
    </xf>
    <xf numFmtId="2" fontId="13" fillId="9" borderId="27" xfId="0" applyNumberFormat="1" applyFont="1" applyFill="1" applyBorder="1" applyAlignment="1">
      <alignment horizontal="center" vertical="center"/>
    </xf>
    <xf numFmtId="2" fontId="13" fillId="9" borderId="44" xfId="0" applyNumberFormat="1" applyFont="1" applyFill="1" applyBorder="1" applyAlignment="1">
      <alignment horizontal="center" vertical="center"/>
    </xf>
    <xf numFmtId="165" fontId="5" fillId="9" borderId="10" xfId="0" applyNumberFormat="1" applyFont="1" applyFill="1" applyBorder="1" applyAlignment="1">
      <alignment horizontal="center" vertical="center"/>
    </xf>
    <xf numFmtId="164" fontId="11" fillId="9" borderId="29" xfId="0" applyNumberFormat="1" applyFont="1" applyFill="1" applyBorder="1" applyAlignment="1">
      <alignment horizontal="center" vertical="center"/>
    </xf>
    <xf numFmtId="164" fontId="5" fillId="9" borderId="33" xfId="0" applyNumberFormat="1" applyFont="1" applyFill="1" applyBorder="1" applyAlignment="1">
      <alignment horizontal="center" vertical="center"/>
    </xf>
    <xf numFmtId="4" fontId="5" fillId="9" borderId="33" xfId="0" applyNumberFormat="1" applyFont="1" applyFill="1" applyBorder="1" applyAlignment="1">
      <alignment horizontal="center" vertical="center"/>
    </xf>
    <xf numFmtId="165" fontId="5" fillId="9" borderId="33" xfId="0" applyNumberFormat="1" applyFont="1" applyFill="1" applyBorder="1" applyAlignment="1">
      <alignment horizontal="center" vertical="center"/>
    </xf>
    <xf numFmtId="4" fontId="5" fillId="9" borderId="27" xfId="0" applyNumberFormat="1" applyFont="1" applyFill="1" applyBorder="1" applyAlignment="1">
      <alignment horizontal="center" vertical="center"/>
    </xf>
    <xf numFmtId="4" fontId="5" fillId="9" borderId="45" xfId="0" applyNumberFormat="1" applyFont="1" applyFill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 vertical="center"/>
    </xf>
    <xf numFmtId="1" fontId="11" fillId="9" borderId="10" xfId="0" applyNumberFormat="1" applyFont="1" applyFill="1" applyBorder="1" applyAlignment="1">
      <alignment horizontal="center" vertical="center"/>
    </xf>
    <xf numFmtId="3" fontId="10" fillId="9" borderId="27" xfId="0" applyNumberFormat="1" applyFont="1" applyFill="1" applyBorder="1" applyAlignment="1">
      <alignment horizontal="center" vertical="center"/>
    </xf>
    <xf numFmtId="49" fontId="11" fillId="9" borderId="34" xfId="0" applyNumberFormat="1" applyFont="1" applyFill="1" applyBorder="1" applyAlignment="1">
      <alignment horizontal="center" vertical="center"/>
    </xf>
    <xf numFmtId="0" fontId="0" fillId="9" borderId="34" xfId="0" applyFill="1" applyBorder="1"/>
    <xf numFmtId="0" fontId="10" fillId="9" borderId="11" xfId="0" applyFont="1" applyFill="1" applyBorder="1" applyAlignment="1">
      <alignment horizontal="center" vertical="center" wrapText="1"/>
    </xf>
    <xf numFmtId="0" fontId="14" fillId="9" borderId="27" xfId="0" applyFont="1" applyFill="1" applyBorder="1"/>
    <xf numFmtId="0" fontId="7" fillId="9" borderId="1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 wrapText="1"/>
    </xf>
    <xf numFmtId="49" fontId="5" fillId="9" borderId="25" xfId="0" applyNumberFormat="1" applyFont="1" applyFill="1" applyBorder="1" applyAlignment="1">
      <alignment horizontal="center" vertical="center"/>
    </xf>
    <xf numFmtId="165" fontId="0" fillId="9" borderId="40" xfId="0" applyNumberFormat="1" applyFill="1" applyBorder="1"/>
    <xf numFmtId="0" fontId="0" fillId="9" borderId="40" xfId="0" applyFill="1" applyBorder="1"/>
    <xf numFmtId="0" fontId="5" fillId="9" borderId="0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2" fontId="11" fillId="9" borderId="36" xfId="0" applyNumberFormat="1" applyFont="1" applyFill="1" applyBorder="1" applyAlignment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center" vertical="center"/>
    </xf>
    <xf numFmtId="3" fontId="5" fillId="9" borderId="31" xfId="0" applyNumberFormat="1" applyFont="1" applyFill="1" applyBorder="1" applyAlignment="1">
      <alignment horizontal="center" vertical="center"/>
    </xf>
    <xf numFmtId="3" fontId="5" fillId="9" borderId="37" xfId="0" applyNumberFormat="1" applyFont="1" applyFill="1" applyBorder="1" applyAlignment="1">
      <alignment horizontal="center" vertical="center"/>
    </xf>
    <xf numFmtId="0" fontId="0" fillId="9" borderId="37" xfId="0" applyFill="1" applyBorder="1"/>
    <xf numFmtId="165" fontId="0" fillId="9" borderId="0" xfId="0" applyNumberFormat="1" applyFill="1" applyBorder="1"/>
    <xf numFmtId="49" fontId="11" fillId="9" borderId="47" xfId="0" applyNumberFormat="1" applyFont="1" applyFill="1" applyBorder="1" applyAlignment="1">
      <alignment horizontal="center" vertical="center"/>
    </xf>
    <xf numFmtId="164" fontId="11" fillId="9" borderId="62" xfId="0" applyNumberFormat="1" applyFont="1" applyFill="1" applyBorder="1" applyAlignment="1">
      <alignment horizontal="center" vertical="center"/>
    </xf>
    <xf numFmtId="49" fontId="5" fillId="9" borderId="0" xfId="0" applyNumberFormat="1" applyFont="1" applyFill="1" applyBorder="1" applyAlignment="1">
      <alignment horizontal="center" vertical="center"/>
    </xf>
    <xf numFmtId="3" fontId="11" fillId="9" borderId="37" xfId="0" applyNumberFormat="1" applyFont="1" applyFill="1" applyBorder="1" applyAlignment="1">
      <alignment horizontal="center" vertical="center"/>
    </xf>
    <xf numFmtId="0" fontId="0" fillId="9" borderId="31" xfId="0" applyFill="1" applyBorder="1"/>
    <xf numFmtId="0" fontId="5" fillId="9" borderId="46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164" fontId="10" fillId="9" borderId="29" xfId="0" applyNumberFormat="1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164" fontId="11" fillId="9" borderId="34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" fontId="5" fillId="9" borderId="10" xfId="0" applyNumberFormat="1" applyFont="1" applyFill="1" applyBorder="1" applyAlignment="1">
      <alignment horizontal="center" vertical="center"/>
    </xf>
    <xf numFmtId="165" fontId="11" fillId="9" borderId="31" xfId="0" applyNumberFormat="1" applyFont="1" applyFill="1" applyBorder="1" applyAlignment="1">
      <alignment horizontal="center" vertical="center"/>
    </xf>
    <xf numFmtId="2" fontId="5" fillId="0" borderId="31" xfId="0" applyNumberFormat="1" applyFont="1" applyFill="1" applyBorder="1" applyAlignment="1">
      <alignment horizontal="center" vertical="center"/>
    </xf>
    <xf numFmtId="1" fontId="5" fillId="10" borderId="91" xfId="0" applyNumberFormat="1" applyFont="1" applyFill="1" applyBorder="1" applyAlignment="1">
      <alignment horizontal="center" vertical="center"/>
    </xf>
    <xf numFmtId="3" fontId="5" fillId="10" borderId="91" xfId="0" applyNumberFormat="1" applyFont="1" applyFill="1" applyBorder="1" applyAlignment="1">
      <alignment horizontal="center" vertical="center"/>
    </xf>
    <xf numFmtId="20" fontId="11" fillId="9" borderId="11" xfId="0" applyNumberFormat="1" applyFont="1" applyFill="1" applyBorder="1" applyAlignment="1">
      <alignment horizontal="center" vertical="center"/>
    </xf>
    <xf numFmtId="165" fontId="0" fillId="10" borderId="0" xfId="0" applyNumberFormat="1" applyFill="1" applyBorder="1"/>
    <xf numFmtId="3" fontId="23" fillId="10" borderId="27" xfId="0" applyNumberFormat="1" applyFont="1" applyFill="1" applyBorder="1" applyAlignment="1">
      <alignment horizontal="center" vertical="center"/>
    </xf>
    <xf numFmtId="0" fontId="23" fillId="10" borderId="34" xfId="0" applyFont="1" applyFill="1" applyBorder="1" applyAlignment="1">
      <alignment horizontal="center" vertical="center"/>
    </xf>
    <xf numFmtId="0" fontId="13" fillId="9" borderId="27" xfId="0" applyFont="1" applyFill="1" applyBorder="1"/>
    <xf numFmtId="2" fontId="11" fillId="9" borderId="11" xfId="0" applyNumberFormat="1" applyFont="1" applyFill="1" applyBorder="1" applyAlignment="1">
      <alignment horizontal="center" vertical="center"/>
    </xf>
    <xf numFmtId="0" fontId="0" fillId="9" borderId="10" xfId="0" applyFill="1" applyBorder="1"/>
    <xf numFmtId="0" fontId="0" fillId="0" borderId="25" xfId="0" applyFill="1" applyBorder="1"/>
    <xf numFmtId="165" fontId="0" fillId="0" borderId="25" xfId="0" applyNumberFormat="1" applyFill="1" applyBorder="1"/>
    <xf numFmtId="14" fontId="5" fillId="10" borderId="79" xfId="0" applyNumberFormat="1" applyFont="1" applyFill="1" applyBorder="1" applyAlignment="1">
      <alignment horizontal="center" vertical="center"/>
    </xf>
    <xf numFmtId="0" fontId="5" fillId="10" borderId="122" xfId="0" applyFont="1" applyFill="1" applyBorder="1" applyAlignment="1">
      <alignment horizontal="center" vertical="center"/>
    </xf>
    <xf numFmtId="0" fontId="5" fillId="10" borderId="123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0" borderId="119" xfId="0" applyFont="1" applyFill="1" applyBorder="1" applyAlignment="1">
      <alignment horizontal="center" vertical="center"/>
    </xf>
    <xf numFmtId="2" fontId="11" fillId="10" borderId="19" xfId="0" applyNumberFormat="1" applyFont="1" applyFill="1" applyBorder="1" applyAlignment="1">
      <alignment horizontal="center" vertical="center"/>
    </xf>
    <xf numFmtId="1" fontId="5" fillId="10" borderId="16" xfId="0" applyNumberFormat="1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3" fontId="5" fillId="10" borderId="123" xfId="0" applyNumberFormat="1" applyFont="1" applyFill="1" applyBorder="1" applyAlignment="1">
      <alignment horizontal="center" vertical="center"/>
    </xf>
    <xf numFmtId="3" fontId="5" fillId="10" borderId="17" xfId="0" applyNumberFormat="1" applyFont="1" applyFill="1" applyBorder="1" applyAlignment="1">
      <alignment horizontal="center" vertical="center"/>
    </xf>
    <xf numFmtId="0" fontId="0" fillId="10" borderId="79" xfId="0" applyFill="1" applyBorder="1"/>
    <xf numFmtId="164" fontId="5" fillId="10" borderId="27" xfId="0" applyNumberFormat="1" applyFont="1" applyFill="1" applyBorder="1" applyAlignment="1">
      <alignment horizontal="center" vertical="center"/>
    </xf>
    <xf numFmtId="164" fontId="11" fillId="10" borderId="27" xfId="0" applyNumberFormat="1" applyFont="1" applyFill="1" applyBorder="1" applyAlignment="1">
      <alignment horizontal="center" vertical="center"/>
    </xf>
    <xf numFmtId="2" fontId="5" fillId="10" borderId="27" xfId="0" applyNumberFormat="1" applyFont="1" applyFill="1" applyBorder="1" applyAlignment="1">
      <alignment horizontal="center" vertical="center"/>
    </xf>
    <xf numFmtId="164" fontId="5" fillId="9" borderId="27" xfId="0" applyNumberFormat="1" applyFont="1" applyFill="1" applyBorder="1" applyAlignment="1">
      <alignment horizontal="center" vertical="center"/>
    </xf>
    <xf numFmtId="164" fontId="11" fillId="9" borderId="27" xfId="0" applyNumberFormat="1" applyFont="1" applyFill="1" applyBorder="1" applyAlignment="1">
      <alignment horizontal="center" vertical="center"/>
    </xf>
    <xf numFmtId="2" fontId="5" fillId="9" borderId="27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/>
    </xf>
    <xf numFmtId="0" fontId="23" fillId="10" borderId="122" xfId="0" applyFont="1" applyFill="1" applyBorder="1" applyAlignment="1">
      <alignment horizontal="center" vertical="center"/>
    </xf>
    <xf numFmtId="0" fontId="23" fillId="10" borderId="123" xfId="0" applyFont="1" applyFill="1" applyBorder="1" applyAlignment="1">
      <alignment horizontal="center" vertical="center"/>
    </xf>
    <xf numFmtId="4" fontId="11" fillId="10" borderId="92" xfId="0" applyNumberFormat="1" applyFont="1" applyFill="1" applyBorder="1" applyAlignment="1">
      <alignment horizontal="center" vertical="center"/>
    </xf>
    <xf numFmtId="164" fontId="11" fillId="10" borderId="89" xfId="0" applyNumberFormat="1" applyFont="1" applyFill="1" applyBorder="1" applyAlignment="1">
      <alignment horizontal="center" vertical="center"/>
    </xf>
    <xf numFmtId="165" fontId="11" fillId="10" borderId="90" xfId="0" applyNumberFormat="1" applyFont="1" applyFill="1" applyBorder="1" applyAlignment="1">
      <alignment horizontal="center" vertical="center"/>
    </xf>
    <xf numFmtId="165" fontId="11" fillId="10" borderId="91" xfId="0" applyNumberFormat="1" applyFont="1" applyFill="1" applyBorder="1" applyAlignment="1">
      <alignment horizontal="center" vertical="center"/>
    </xf>
    <xf numFmtId="4" fontId="11" fillId="10" borderId="91" xfId="0" applyNumberFormat="1" applyFont="1" applyFill="1" applyBorder="1" applyAlignment="1">
      <alignment horizontal="center" vertical="center"/>
    </xf>
    <xf numFmtId="164" fontId="11" fillId="10" borderId="93" xfId="0" applyNumberFormat="1" applyFont="1" applyFill="1" applyBorder="1" applyAlignment="1">
      <alignment horizontal="center" vertical="center"/>
    </xf>
    <xf numFmtId="164" fontId="11" fillId="10" borderId="90" xfId="0" applyNumberFormat="1" applyFont="1" applyFill="1" applyBorder="1" applyAlignment="1">
      <alignment horizontal="center" vertical="center"/>
    </xf>
    <xf numFmtId="2" fontId="5" fillId="0" borderId="89" xfId="0" applyNumberFormat="1" applyFont="1" applyFill="1" applyBorder="1" applyAlignment="1">
      <alignment horizontal="center" vertical="center"/>
    </xf>
    <xf numFmtId="4" fontId="11" fillId="0" borderId="90" xfId="0" applyNumberFormat="1" applyFont="1" applyFill="1" applyBorder="1" applyAlignment="1">
      <alignment horizontal="center" vertical="center"/>
    </xf>
    <xf numFmtId="164" fontId="5" fillId="0" borderId="90" xfId="0" applyNumberFormat="1" applyFont="1" applyFill="1" applyBorder="1" applyAlignment="1">
      <alignment horizontal="center" vertical="center"/>
    </xf>
    <xf numFmtId="4" fontId="5" fillId="0" borderId="90" xfId="0" applyNumberFormat="1" applyFont="1" applyFill="1" applyBorder="1" applyAlignment="1">
      <alignment horizontal="center" vertical="center"/>
    </xf>
    <xf numFmtId="164" fontId="5" fillId="0" borderId="93" xfId="0" applyNumberFormat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2" fontId="11" fillId="15" borderId="12" xfId="0" applyNumberFormat="1" applyFont="1" applyFill="1" applyBorder="1" applyAlignment="1">
      <alignment horizontal="center" vertical="center"/>
    </xf>
    <xf numFmtId="164" fontId="5" fillId="15" borderId="27" xfId="0" applyNumberFormat="1" applyFont="1" applyFill="1" applyBorder="1" applyAlignment="1">
      <alignment horizontal="center" vertical="center"/>
    </xf>
    <xf numFmtId="164" fontId="11" fillId="15" borderId="27" xfId="0" applyNumberFormat="1" applyFont="1" applyFill="1" applyBorder="1" applyAlignment="1">
      <alignment horizontal="center" vertical="center"/>
    </xf>
    <xf numFmtId="1" fontId="11" fillId="15" borderId="27" xfId="0" applyNumberFormat="1" applyFont="1" applyFill="1" applyBorder="1" applyAlignment="1">
      <alignment horizontal="center" vertical="center"/>
    </xf>
    <xf numFmtId="164" fontId="11" fillId="15" borderId="34" xfId="0" applyNumberFormat="1" applyFont="1" applyFill="1" applyBorder="1" applyAlignment="1">
      <alignment horizontal="center" vertical="center"/>
    </xf>
    <xf numFmtId="0" fontId="0" fillId="15" borderId="10" xfId="0" applyFill="1" applyBorder="1"/>
    <xf numFmtId="2" fontId="5" fillId="15" borderId="27" xfId="0" applyNumberFormat="1" applyFont="1" applyFill="1" applyBorder="1" applyAlignment="1">
      <alignment horizontal="center" vertical="center"/>
    </xf>
    <xf numFmtId="2" fontId="5" fillId="15" borderId="10" xfId="0" applyNumberFormat="1" applyFont="1" applyFill="1" applyBorder="1" applyAlignment="1">
      <alignment horizontal="center" vertical="center"/>
    </xf>
    <xf numFmtId="4" fontId="5" fillId="10" borderId="45" xfId="0" applyNumberFormat="1" applyFont="1" applyFill="1" applyBorder="1" applyAlignment="1">
      <alignment horizontal="center" vertical="center"/>
    </xf>
    <xf numFmtId="14" fontId="5" fillId="13" borderId="25" xfId="0" applyNumberFormat="1" applyFont="1" applyFill="1" applyBorder="1" applyAlignment="1">
      <alignment horizontal="center" vertical="center"/>
    </xf>
    <xf numFmtId="20" fontId="5" fillId="13" borderId="11" xfId="0" applyNumberFormat="1" applyFont="1" applyFill="1" applyBorder="1" applyAlignment="1">
      <alignment horizontal="center" vertical="center"/>
    </xf>
    <xf numFmtId="164" fontId="11" fillId="13" borderId="25" xfId="0" applyNumberFormat="1" applyFont="1" applyFill="1" applyBorder="1" applyAlignment="1">
      <alignment horizontal="center" vertical="center"/>
    </xf>
    <xf numFmtId="3" fontId="5" fillId="13" borderId="27" xfId="0" applyNumberFormat="1" applyFont="1" applyFill="1" applyBorder="1" applyAlignment="1">
      <alignment horizontal="center" vertical="center"/>
    </xf>
    <xf numFmtId="1" fontId="11" fillId="13" borderId="27" xfId="0" applyNumberFormat="1" applyFont="1" applyFill="1" applyBorder="1" applyAlignment="1">
      <alignment horizontal="center" vertical="center"/>
    </xf>
    <xf numFmtId="3" fontId="11" fillId="13" borderId="27" xfId="0" applyNumberFormat="1" applyFont="1" applyFill="1" applyBorder="1" applyAlignment="1">
      <alignment horizontal="center" vertical="center"/>
    </xf>
    <xf numFmtId="0" fontId="5" fillId="13" borderId="97" xfId="0" applyFont="1" applyFill="1" applyBorder="1" applyAlignment="1">
      <alignment horizontal="center" vertical="center"/>
    </xf>
    <xf numFmtId="0" fontId="5" fillId="13" borderId="98" xfId="0" applyFont="1" applyFill="1" applyBorder="1" applyAlignment="1">
      <alignment horizontal="center" vertical="center"/>
    </xf>
    <xf numFmtId="3" fontId="5" fillId="13" borderId="98" xfId="0" applyNumberFormat="1" applyFont="1" applyFill="1" applyBorder="1" applyAlignment="1">
      <alignment horizontal="center" vertical="center"/>
    </xf>
    <xf numFmtId="3" fontId="5" fillId="13" borderId="99" xfId="0" applyNumberFormat="1" applyFont="1" applyFill="1" applyBorder="1" applyAlignment="1">
      <alignment horizontal="center" vertical="center"/>
    </xf>
    <xf numFmtId="0" fontId="5" fillId="13" borderId="96" xfId="0" applyFont="1" applyFill="1" applyBorder="1" applyAlignment="1">
      <alignment horizontal="center" vertical="center"/>
    </xf>
    <xf numFmtId="0" fontId="5" fillId="13" borderId="99" xfId="0" applyFont="1" applyFill="1" applyBorder="1" applyAlignment="1">
      <alignment horizontal="center" vertical="center"/>
    </xf>
    <xf numFmtId="2" fontId="11" fillId="13" borderId="100" xfId="0" applyNumberFormat="1" applyFont="1" applyFill="1" applyBorder="1" applyAlignment="1">
      <alignment horizontal="center" vertical="center"/>
    </xf>
    <xf numFmtId="0" fontId="5" fillId="13" borderId="100" xfId="0" applyFont="1" applyFill="1" applyBorder="1" applyAlignment="1">
      <alignment horizontal="center" vertical="center"/>
    </xf>
    <xf numFmtId="164" fontId="11" fillId="13" borderId="99" xfId="0" applyNumberFormat="1" applyFont="1" applyFill="1" applyBorder="1" applyAlignment="1">
      <alignment horizontal="center" vertical="center"/>
    </xf>
    <xf numFmtId="164" fontId="5" fillId="13" borderId="27" xfId="0" applyNumberFormat="1" applyFont="1" applyFill="1" applyBorder="1" applyAlignment="1">
      <alignment horizontal="center" vertical="center"/>
    </xf>
    <xf numFmtId="164" fontId="11" fillId="13" borderId="27" xfId="0" applyNumberFormat="1" applyFont="1" applyFill="1" applyBorder="1" applyAlignment="1">
      <alignment horizontal="center" vertical="center"/>
    </xf>
    <xf numFmtId="0" fontId="5" fillId="13" borderId="102" xfId="0" applyFont="1" applyFill="1" applyBorder="1" applyAlignment="1">
      <alignment horizontal="center" vertical="center"/>
    </xf>
    <xf numFmtId="0" fontId="5" fillId="13" borderId="103" xfId="0" applyFont="1" applyFill="1" applyBorder="1" applyAlignment="1">
      <alignment horizontal="center" vertical="center"/>
    </xf>
    <xf numFmtId="0" fontId="5" fillId="13" borderId="104" xfId="0" applyFont="1" applyFill="1" applyBorder="1" applyAlignment="1">
      <alignment horizontal="center" vertical="center"/>
    </xf>
    <xf numFmtId="0" fontId="5" fillId="13" borderId="105" xfId="0" applyFont="1" applyFill="1" applyBorder="1" applyAlignment="1">
      <alignment horizontal="center" vertical="center"/>
    </xf>
    <xf numFmtId="0" fontId="5" fillId="13" borderId="106" xfId="0" applyFont="1" applyFill="1" applyBorder="1" applyAlignment="1">
      <alignment horizontal="center" vertical="center"/>
    </xf>
    <xf numFmtId="0" fontId="5" fillId="13" borderId="107" xfId="0" applyFont="1" applyFill="1" applyBorder="1" applyAlignment="1">
      <alignment horizontal="center" vertical="center"/>
    </xf>
    <xf numFmtId="3" fontId="5" fillId="13" borderId="104" xfId="0" applyNumberFormat="1" applyFont="1" applyFill="1" applyBorder="1" applyAlignment="1">
      <alignment horizontal="center" vertical="center"/>
    </xf>
    <xf numFmtId="0" fontId="0" fillId="13" borderId="104" xfId="0" applyFill="1" applyBorder="1"/>
    <xf numFmtId="0" fontId="0" fillId="13" borderId="102" xfId="0" applyFill="1" applyBorder="1"/>
    <xf numFmtId="2" fontId="5" fillId="13" borderId="27" xfId="0" applyNumberFormat="1" applyFont="1" applyFill="1" applyBorder="1" applyAlignment="1">
      <alignment horizontal="center" vertical="center"/>
    </xf>
    <xf numFmtId="165" fontId="11" fillId="13" borderId="10" xfId="0" applyNumberFormat="1" applyFont="1" applyFill="1" applyBorder="1" applyAlignment="1">
      <alignment horizontal="center" vertical="center"/>
    </xf>
    <xf numFmtId="2" fontId="5" fillId="13" borderId="10" xfId="0" applyNumberFormat="1" applyFont="1" applyFill="1" applyBorder="1" applyAlignment="1">
      <alignment horizontal="center" vertical="center"/>
    </xf>
    <xf numFmtId="2" fontId="5" fillId="10" borderId="9" xfId="0" applyNumberFormat="1" applyFont="1" applyFill="1" applyBorder="1" applyAlignment="1">
      <alignment horizontal="center" vertical="center"/>
    </xf>
    <xf numFmtId="3" fontId="23" fillId="10" borderId="34" xfId="0" applyNumberFormat="1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164" fontId="11" fillId="0" borderId="90" xfId="0" applyNumberFormat="1" applyFont="1" applyFill="1" applyBorder="1" applyAlignment="1">
      <alignment horizontal="center" vertical="center"/>
    </xf>
    <xf numFmtId="164" fontId="11" fillId="0" borderId="89" xfId="0" applyNumberFormat="1" applyFont="1" applyFill="1" applyBorder="1" applyAlignment="1">
      <alignment horizontal="center" vertical="center"/>
    </xf>
    <xf numFmtId="165" fontId="11" fillId="0" borderId="90" xfId="0" applyNumberFormat="1" applyFont="1" applyFill="1" applyBorder="1" applyAlignment="1">
      <alignment horizontal="center" vertical="center"/>
    </xf>
    <xf numFmtId="165" fontId="11" fillId="0" borderId="91" xfId="0" applyNumberFormat="1" applyFont="1" applyFill="1" applyBorder="1" applyAlignment="1">
      <alignment horizontal="center" vertical="center"/>
    </xf>
    <xf numFmtId="4" fontId="11" fillId="0" borderId="92" xfId="0" applyNumberFormat="1" applyFont="1" applyFill="1" applyBorder="1" applyAlignment="1">
      <alignment horizontal="center" vertical="center"/>
    </xf>
    <xf numFmtId="4" fontId="11" fillId="0" borderId="91" xfId="0" applyNumberFormat="1" applyFont="1" applyFill="1" applyBorder="1" applyAlignment="1">
      <alignment horizontal="center" vertical="center"/>
    </xf>
    <xf numFmtId="164" fontId="11" fillId="0" borderId="93" xfId="0" applyNumberFormat="1" applyFont="1" applyFill="1" applyBorder="1" applyAlignment="1">
      <alignment horizontal="center" vertical="center"/>
    </xf>
    <xf numFmtId="0" fontId="5" fillId="10" borderId="119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2" fontId="11" fillId="13" borderId="12" xfId="0" applyNumberFormat="1" applyFont="1" applyFill="1" applyBorder="1" applyAlignment="1">
      <alignment horizontal="center" vertical="center"/>
    </xf>
    <xf numFmtId="1" fontId="5" fillId="13" borderId="9" xfId="0" applyNumberFormat="1" applyFont="1" applyFill="1" applyBorder="1" applyAlignment="1">
      <alignment horizontal="center" vertical="center"/>
    </xf>
    <xf numFmtId="164" fontId="11" fillId="13" borderId="29" xfId="0" applyNumberFormat="1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3" fontId="5" fillId="13" borderId="10" xfId="0" applyNumberFormat="1" applyFont="1" applyFill="1" applyBorder="1" applyAlignment="1">
      <alignment horizontal="center" vertical="center"/>
    </xf>
    <xf numFmtId="164" fontId="10" fillId="13" borderId="34" xfId="0" applyNumberFormat="1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0" fillId="13" borderId="27" xfId="0" applyFill="1" applyBorder="1"/>
    <xf numFmtId="0" fontId="0" fillId="13" borderId="0" xfId="0" applyFill="1"/>
    <xf numFmtId="2" fontId="13" fillId="13" borderId="27" xfId="0" applyNumberFormat="1" applyFont="1" applyFill="1" applyBorder="1" applyAlignment="1">
      <alignment horizontal="center" vertical="center"/>
    </xf>
    <xf numFmtId="2" fontId="13" fillId="13" borderId="44" xfId="0" applyNumberFormat="1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111" xfId="0" applyFont="1" applyFill="1" applyBorder="1" applyAlignment="1">
      <alignment horizontal="center" vertical="center"/>
    </xf>
    <xf numFmtId="3" fontId="5" fillId="10" borderId="111" xfId="0" applyNumberFormat="1" applyFont="1" applyFill="1" applyBorder="1" applyAlignment="1">
      <alignment horizontal="center" vertical="center"/>
    </xf>
    <xf numFmtId="3" fontId="5" fillId="10" borderId="112" xfId="0" applyNumberFormat="1" applyFont="1" applyFill="1" applyBorder="1" applyAlignment="1">
      <alignment horizontal="center" vertical="center"/>
    </xf>
    <xf numFmtId="0" fontId="5" fillId="10" borderId="109" xfId="0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2" fontId="11" fillId="10" borderId="113" xfId="0" applyNumberFormat="1" applyFont="1" applyFill="1" applyBorder="1" applyAlignment="1">
      <alignment horizontal="center" vertical="center"/>
    </xf>
    <xf numFmtId="1" fontId="5" fillId="10" borderId="110" xfId="0" applyNumberFormat="1" applyFont="1" applyFill="1" applyBorder="1" applyAlignment="1">
      <alignment horizontal="center" vertical="center"/>
    </xf>
    <xf numFmtId="164" fontId="11" fillId="10" borderId="112" xfId="0" applyNumberFormat="1" applyFont="1" applyFill="1" applyBorder="1" applyAlignment="1">
      <alignment horizontal="center" vertical="center"/>
    </xf>
    <xf numFmtId="1" fontId="5" fillId="10" borderId="27" xfId="0" applyNumberFormat="1" applyFont="1" applyFill="1" applyBorder="1" applyAlignment="1">
      <alignment horizontal="center" vertical="center"/>
    </xf>
    <xf numFmtId="0" fontId="5" fillId="10" borderId="114" xfId="0" applyFont="1" applyFill="1" applyBorder="1" applyAlignment="1">
      <alignment horizontal="center" vertical="center"/>
    </xf>
    <xf numFmtId="0" fontId="5" fillId="10" borderId="108" xfId="0" applyFont="1" applyFill="1" applyBorder="1" applyAlignment="1">
      <alignment horizontal="center" vertical="center"/>
    </xf>
    <xf numFmtId="0" fontId="0" fillId="10" borderId="111" xfId="0" applyFill="1" applyBorder="1"/>
    <xf numFmtId="0" fontId="0" fillId="10" borderId="114" xfId="0" applyFill="1" applyBorder="1"/>
    <xf numFmtId="0" fontId="0" fillId="0" borderId="37" xfId="0" applyFill="1" applyBorder="1"/>
    <xf numFmtId="1" fontId="11" fillId="10" borderId="26" xfId="0" applyNumberFormat="1" applyFont="1" applyFill="1" applyBorder="1" applyAlignment="1">
      <alignment horizontal="center" vertical="center"/>
    </xf>
    <xf numFmtId="49" fontId="11" fillId="10" borderId="34" xfId="0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23" fillId="10" borderId="110" xfId="0" applyFont="1" applyFill="1" applyBorder="1" applyAlignment="1">
      <alignment horizontal="center" vertical="center"/>
    </xf>
    <xf numFmtId="0" fontId="23" fillId="10" borderId="111" xfId="0" applyFont="1" applyFill="1" applyBorder="1" applyAlignment="1">
      <alignment horizontal="center" vertical="center"/>
    </xf>
    <xf numFmtId="0" fontId="23" fillId="9" borderId="48" xfId="0" applyFont="1" applyFill="1" applyBorder="1" applyAlignment="1">
      <alignment horizontal="center" vertical="center"/>
    </xf>
    <xf numFmtId="0" fontId="23" fillId="9" borderId="31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horizontal="center" vertical="center"/>
    </xf>
    <xf numFmtId="0" fontId="23" fillId="13" borderId="101" xfId="0" applyFont="1" applyFill="1" applyBorder="1" applyAlignment="1">
      <alignment horizontal="center" vertical="center"/>
    </xf>
    <xf numFmtId="0" fontId="23" fillId="13" borderId="98" xfId="0" applyFont="1" applyFill="1" applyBorder="1" applyAlignment="1">
      <alignment horizontal="center" vertical="center"/>
    </xf>
    <xf numFmtId="0" fontId="23" fillId="13" borderId="95" xfId="0" applyFont="1" applyFill="1" applyBorder="1" applyAlignment="1">
      <alignment horizontal="center" vertical="center"/>
    </xf>
    <xf numFmtId="0" fontId="23" fillId="13" borderId="96" xfId="0" applyFont="1" applyFill="1" applyBorder="1" applyAlignment="1">
      <alignment horizontal="center" vertical="center"/>
    </xf>
    <xf numFmtId="0" fontId="23" fillId="9" borderId="3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164" fontId="23" fillId="9" borderId="33" xfId="0" applyNumberFormat="1" applyFont="1" applyFill="1" applyBorder="1" applyAlignment="1">
      <alignment horizontal="center" vertical="center"/>
    </xf>
    <xf numFmtId="4" fontId="23" fillId="9" borderId="33" xfId="0" applyNumberFormat="1" applyFont="1" applyFill="1" applyBorder="1" applyAlignment="1">
      <alignment horizontal="center" vertical="center"/>
    </xf>
    <xf numFmtId="165" fontId="23" fillId="9" borderId="33" xfId="0" applyNumberFormat="1" applyFont="1" applyFill="1" applyBorder="1" applyAlignment="1">
      <alignment horizontal="center" vertical="center"/>
    </xf>
    <xf numFmtId="4" fontId="23" fillId="9" borderId="27" xfId="0" applyNumberFormat="1" applyFont="1" applyFill="1" applyBorder="1" applyAlignment="1">
      <alignment horizontal="center" vertical="center"/>
    </xf>
    <xf numFmtId="164" fontId="23" fillId="9" borderId="28" xfId="0" applyNumberFormat="1" applyFont="1" applyFill="1" applyBorder="1" applyAlignment="1">
      <alignment horizontal="center" vertical="center"/>
    </xf>
    <xf numFmtId="0" fontId="23" fillId="13" borderId="33" xfId="0" applyFont="1" applyFill="1" applyBorder="1" applyAlignment="1">
      <alignment horizontal="center" vertical="center"/>
    </xf>
    <xf numFmtId="0" fontId="23" fillId="13" borderId="25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2" fontId="23" fillId="0" borderId="89" xfId="0" applyNumberFormat="1" applyFont="1" applyFill="1" applyBorder="1" applyAlignment="1">
      <alignment horizontal="center" vertical="center"/>
    </xf>
    <xf numFmtId="4" fontId="23" fillId="0" borderId="90" xfId="0" applyNumberFormat="1" applyFont="1" applyFill="1" applyBorder="1" applyAlignment="1">
      <alignment horizontal="center" vertical="center"/>
    </xf>
    <xf numFmtId="164" fontId="23" fillId="0" borderId="90" xfId="0" applyNumberFormat="1" applyFont="1" applyFill="1" applyBorder="1" applyAlignment="1">
      <alignment horizontal="center" vertical="center"/>
    </xf>
    <xf numFmtId="164" fontId="23" fillId="0" borderId="27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" fontId="11" fillId="10" borderId="83" xfId="0" applyNumberFormat="1" applyFont="1" applyFill="1" applyBorder="1" applyAlignment="1">
      <alignment horizontal="center" vertical="center"/>
    </xf>
    <xf numFmtId="1" fontId="11" fillId="0" borderId="83" xfId="0" applyNumberFormat="1" applyFont="1" applyFill="1" applyBorder="1" applyAlignment="1">
      <alignment horizontal="center" vertical="center"/>
    </xf>
    <xf numFmtId="165" fontId="11" fillId="10" borderId="83" xfId="0" applyNumberFormat="1" applyFont="1" applyFill="1" applyBorder="1" applyAlignment="1">
      <alignment horizontal="center" vertical="center"/>
    </xf>
    <xf numFmtId="3" fontId="11" fillId="10" borderId="91" xfId="0" applyNumberFormat="1" applyFont="1" applyFill="1" applyBorder="1" applyAlignment="1">
      <alignment horizontal="center" vertical="center"/>
    </xf>
    <xf numFmtId="2" fontId="5" fillId="10" borderId="91" xfId="0" applyNumberFormat="1" applyFont="1" applyFill="1" applyBorder="1" applyAlignment="1">
      <alignment horizontal="center" vertical="center"/>
    </xf>
    <xf numFmtId="2" fontId="11" fillId="10" borderId="28" xfId="0" applyNumberFormat="1" applyFont="1" applyFill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/>
    </xf>
    <xf numFmtId="2" fontId="23" fillId="0" borderId="27" xfId="0" applyNumberFormat="1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164" fontId="23" fillId="0" borderId="33" xfId="0" applyNumberFormat="1" applyFont="1" applyFill="1" applyBorder="1" applyAlignment="1">
      <alignment horizontal="center" vertical="center"/>
    </xf>
    <xf numFmtId="4" fontId="23" fillId="0" borderId="33" xfId="0" applyNumberFormat="1" applyFont="1" applyFill="1" applyBorder="1" applyAlignment="1">
      <alignment horizontal="center" vertical="center"/>
    </xf>
    <xf numFmtId="165" fontId="23" fillId="0" borderId="33" xfId="0" applyNumberFormat="1" applyFont="1" applyFill="1" applyBorder="1" applyAlignment="1">
      <alignment horizontal="center" vertical="center"/>
    </xf>
    <xf numFmtId="4" fontId="23" fillId="0" borderId="27" xfId="0" applyNumberFormat="1" applyFont="1" applyFill="1" applyBorder="1" applyAlignment="1">
      <alignment horizontal="center" vertical="center"/>
    </xf>
    <xf numFmtId="164" fontId="23" fillId="0" borderId="28" xfId="0" applyNumberFormat="1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4" fontId="23" fillId="0" borderId="45" xfId="0" applyNumberFormat="1" applyFont="1" applyFill="1" applyBorder="1" applyAlignment="1">
      <alignment horizontal="center" vertical="center"/>
    </xf>
    <xf numFmtId="164" fontId="23" fillId="0" borderId="15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165" fontId="23" fillId="0" borderId="90" xfId="0" applyNumberFormat="1" applyFont="1" applyFill="1" applyBorder="1" applyAlignment="1">
      <alignment horizontal="center" vertical="center"/>
    </xf>
    <xf numFmtId="165" fontId="23" fillId="0" borderId="91" xfId="0" applyNumberFormat="1" applyFont="1" applyFill="1" applyBorder="1" applyAlignment="1">
      <alignment horizontal="center" vertical="center"/>
    </xf>
    <xf numFmtId="4" fontId="23" fillId="0" borderId="92" xfId="0" applyNumberFormat="1" applyFont="1" applyFill="1" applyBorder="1" applyAlignment="1">
      <alignment horizontal="center" vertical="center"/>
    </xf>
    <xf numFmtId="4" fontId="23" fillId="0" borderId="91" xfId="0" applyNumberFormat="1" applyFont="1" applyFill="1" applyBorder="1" applyAlignment="1">
      <alignment horizontal="center" vertical="center"/>
    </xf>
    <xf numFmtId="164" fontId="23" fillId="0" borderId="93" xfId="0" applyNumberFormat="1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3" fontId="23" fillId="0" borderId="41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2" fontId="11" fillId="10" borderId="27" xfId="0" applyNumberFormat="1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54" xfId="0" applyNumberFormat="1" applyFont="1" applyFill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67" xfId="0" applyNumberFormat="1" applyFont="1" applyFill="1" applyBorder="1" applyAlignment="1">
      <alignment horizontal="center" vertical="center"/>
    </xf>
    <xf numFmtId="2" fontId="11" fillId="10" borderId="89" xfId="0" applyNumberFormat="1" applyFont="1" applyFill="1" applyBorder="1" applyAlignment="1">
      <alignment horizontal="center" vertical="center"/>
    </xf>
    <xf numFmtId="2" fontId="5" fillId="13" borderId="12" xfId="0" applyNumberFormat="1" applyFont="1" applyFill="1" applyBorder="1" applyAlignment="1">
      <alignment horizontal="center" vertical="center"/>
    </xf>
    <xf numFmtId="1" fontId="11" fillId="13" borderId="83" xfId="0" applyNumberFormat="1" applyFont="1" applyFill="1" applyBorder="1" applyAlignment="1">
      <alignment horizontal="center" vertical="center"/>
    </xf>
    <xf numFmtId="3" fontId="11" fillId="13" borderId="10" xfId="0" applyNumberFormat="1" applyFont="1" applyFill="1" applyBorder="1" applyAlignment="1">
      <alignment horizontal="center" vertical="center"/>
    </xf>
    <xf numFmtId="0" fontId="23" fillId="13" borderId="9" xfId="0" applyFont="1" applyFill="1" applyBorder="1" applyAlignment="1">
      <alignment horizontal="center" vertical="center"/>
    </xf>
    <xf numFmtId="14" fontId="5" fillId="9" borderId="27" xfId="0" applyNumberFormat="1" applyFont="1" applyFill="1" applyBorder="1" applyAlignment="1">
      <alignment horizontal="center" vertical="center"/>
    </xf>
    <xf numFmtId="20" fontId="5" fillId="9" borderId="27" xfId="0" applyNumberFormat="1" applyFont="1" applyFill="1" applyBorder="1" applyAlignment="1">
      <alignment horizontal="center" vertical="center"/>
    </xf>
    <xf numFmtId="14" fontId="5" fillId="10" borderId="27" xfId="0" applyNumberFormat="1" applyFont="1" applyFill="1" applyBorder="1" applyAlignment="1">
      <alignment horizontal="center" vertical="center"/>
    </xf>
    <xf numFmtId="20" fontId="5" fillId="10" borderId="27" xfId="0" applyNumberFormat="1" applyFont="1" applyFill="1" applyBorder="1" applyAlignment="1">
      <alignment horizontal="center" vertical="center"/>
    </xf>
    <xf numFmtId="14" fontId="5" fillId="13" borderId="27" xfId="0" applyNumberFormat="1" applyFont="1" applyFill="1" applyBorder="1" applyAlignment="1">
      <alignment horizontal="center" vertical="center"/>
    </xf>
    <xf numFmtId="20" fontId="5" fillId="13" borderId="27" xfId="0" applyNumberFormat="1" applyFont="1" applyFill="1" applyBorder="1" applyAlignment="1">
      <alignment horizontal="center" vertical="center"/>
    </xf>
    <xf numFmtId="0" fontId="5" fillId="13" borderId="44" xfId="0" applyFont="1" applyFill="1" applyBorder="1" applyAlignment="1">
      <alignment horizontal="center" vertical="center"/>
    </xf>
    <xf numFmtId="0" fontId="5" fillId="13" borderId="27" xfId="0" applyFont="1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10" borderId="27" xfId="0" applyFont="1" applyFill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13" borderId="27" xfId="0" applyFill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10" borderId="27" xfId="0" applyFill="1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20" fillId="10" borderId="27" xfId="0" applyFont="1" applyFill="1" applyBorder="1" applyAlignment="1">
      <alignment horizontal="center" vertical="center"/>
    </xf>
    <xf numFmtId="165" fontId="11" fillId="0" borderId="27" xfId="0" applyNumberFormat="1" applyFont="1" applyFill="1" applyBorder="1" applyAlignment="1">
      <alignment horizontal="center" vertical="center"/>
    </xf>
    <xf numFmtId="4" fontId="11" fillId="10" borderId="27" xfId="0" applyNumberFormat="1" applyFont="1" applyFill="1" applyBorder="1" applyAlignment="1">
      <alignment horizontal="center" vertical="center"/>
    </xf>
    <xf numFmtId="165" fontId="11" fillId="10" borderId="27" xfId="0" applyNumberFormat="1" applyFont="1" applyFill="1" applyBorder="1" applyAlignment="1">
      <alignment horizontal="center" vertical="center"/>
    </xf>
    <xf numFmtId="1" fontId="0" fillId="10" borderId="27" xfId="0" applyNumberForma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Alignment="1">
      <alignment horizontal="center"/>
    </xf>
    <xf numFmtId="0" fontId="22" fillId="10" borderId="27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0" borderId="29" xfId="0" applyBorder="1" applyAlignment="1">
      <alignment horizontal="center"/>
    </xf>
    <xf numFmtId="1" fontId="0" fillId="10" borderId="27" xfId="0" applyNumberFormat="1" applyFill="1" applyBorder="1" applyAlignment="1">
      <alignment horizontal="center"/>
    </xf>
    <xf numFmtId="3" fontId="0" fillId="0" borderId="27" xfId="0" applyNumberFormat="1" applyBorder="1" applyAlignment="1">
      <alignment horizontal="center" vertical="center"/>
    </xf>
    <xf numFmtId="3" fontId="22" fillId="10" borderId="27" xfId="0" applyNumberFormat="1" applyFont="1" applyFill="1" applyBorder="1" applyAlignment="1">
      <alignment horizontal="center" vertical="center"/>
    </xf>
    <xf numFmtId="3" fontId="20" fillId="10" borderId="27" xfId="0" applyNumberFormat="1" applyFont="1" applyFill="1" applyBorder="1" applyAlignment="1">
      <alignment horizontal="center" vertical="center"/>
    </xf>
    <xf numFmtId="3" fontId="0" fillId="10" borderId="27" xfId="0" applyNumberFormat="1" applyFill="1" applyBorder="1" applyAlignment="1">
      <alignment horizontal="center" vertical="center"/>
    </xf>
    <xf numFmtId="3" fontId="0" fillId="10" borderId="27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165" fontId="23" fillId="0" borderId="27" xfId="0" applyNumberFormat="1" applyFont="1" applyFill="1" applyBorder="1" applyAlignment="1">
      <alignment horizontal="center" vertical="center"/>
    </xf>
    <xf numFmtId="2" fontId="22" fillId="10" borderId="27" xfId="0" applyNumberFormat="1" applyFont="1" applyFill="1" applyBorder="1" applyAlignment="1">
      <alignment horizontal="center" vertical="center"/>
    </xf>
    <xf numFmtId="1" fontId="0" fillId="13" borderId="27" xfId="0" applyNumberFormat="1" applyFill="1" applyBorder="1" applyAlignment="1">
      <alignment horizontal="center" vertical="center"/>
    </xf>
    <xf numFmtId="165" fontId="23" fillId="10" borderId="27" xfId="0" applyNumberFormat="1" applyFont="1" applyFill="1" applyBorder="1" applyAlignment="1">
      <alignment horizontal="center" vertical="center"/>
    </xf>
    <xf numFmtId="164" fontId="22" fillId="10" borderId="27" xfId="0" applyNumberFormat="1" applyFont="1" applyFill="1" applyBorder="1" applyAlignment="1">
      <alignment horizontal="center" vertical="center"/>
    </xf>
    <xf numFmtId="14" fontId="5" fillId="16" borderId="27" xfId="0" applyNumberFormat="1" applyFont="1" applyFill="1" applyBorder="1" applyAlignment="1">
      <alignment horizontal="center" vertical="center"/>
    </xf>
    <xf numFmtId="20" fontId="5" fillId="16" borderId="27" xfId="0" applyNumberFormat="1" applyFont="1" applyFill="1" applyBorder="1" applyAlignment="1">
      <alignment horizontal="center" vertical="center"/>
    </xf>
    <xf numFmtId="164" fontId="11" fillId="16" borderId="27" xfId="0" applyNumberFormat="1" applyFont="1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1" fontId="0" fillId="16" borderId="27" xfId="0" applyNumberFormat="1" applyFill="1" applyBorder="1" applyAlignment="1">
      <alignment horizontal="center" vertical="center"/>
    </xf>
    <xf numFmtId="0" fontId="22" fillId="16" borderId="27" xfId="0" applyFont="1" applyFill="1" applyBorder="1" applyAlignment="1">
      <alignment horizontal="center" vertical="center"/>
    </xf>
    <xf numFmtId="2" fontId="5" fillId="16" borderId="27" xfId="0" applyNumberFormat="1" applyFont="1" applyFill="1" applyBorder="1" applyAlignment="1">
      <alignment horizontal="center" vertical="center"/>
    </xf>
    <xf numFmtId="14" fontId="5" fillId="20" borderId="27" xfId="0" applyNumberFormat="1" applyFont="1" applyFill="1" applyBorder="1" applyAlignment="1">
      <alignment horizontal="center" vertical="center"/>
    </xf>
    <xf numFmtId="20" fontId="5" fillId="20" borderId="27" xfId="0" applyNumberFormat="1" applyFont="1" applyFill="1" applyBorder="1" applyAlignment="1">
      <alignment horizontal="center" vertical="center"/>
    </xf>
    <xf numFmtId="164" fontId="11" fillId="20" borderId="27" xfId="0" applyNumberFormat="1" applyFont="1" applyFill="1" applyBorder="1" applyAlignment="1">
      <alignment horizontal="center" vertical="center"/>
    </xf>
    <xf numFmtId="0" fontId="0" fillId="20" borderId="27" xfId="0" applyFill="1" applyBorder="1" applyAlignment="1">
      <alignment horizontal="center" vertical="center"/>
    </xf>
    <xf numFmtId="0" fontId="0" fillId="20" borderId="0" xfId="0" applyFill="1"/>
    <xf numFmtId="2" fontId="22" fillId="16" borderId="27" xfId="0" applyNumberFormat="1" applyFont="1" applyFill="1" applyBorder="1" applyAlignment="1">
      <alignment horizontal="center" vertical="center"/>
    </xf>
    <xf numFmtId="164" fontId="22" fillId="16" borderId="27" xfId="0" applyNumberFormat="1" applyFont="1" applyFill="1" applyBorder="1" applyAlignment="1">
      <alignment horizontal="center" vertical="center"/>
    </xf>
    <xf numFmtId="14" fontId="5" fillId="21" borderId="27" xfId="0" applyNumberFormat="1" applyFont="1" applyFill="1" applyBorder="1" applyAlignment="1">
      <alignment horizontal="center" vertical="center"/>
    </xf>
    <xf numFmtId="20" fontId="5" fillId="21" borderId="27" xfId="0" applyNumberFormat="1" applyFont="1" applyFill="1" applyBorder="1" applyAlignment="1">
      <alignment horizontal="center" vertical="center"/>
    </xf>
    <xf numFmtId="164" fontId="11" fillId="21" borderId="27" xfId="0" applyNumberFormat="1" applyFont="1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21" borderId="0" xfId="0" applyFill="1"/>
    <xf numFmtId="164" fontId="0" fillId="10" borderId="27" xfId="0" applyNumberFormat="1" applyFill="1" applyBorder="1" applyAlignment="1">
      <alignment horizontal="center" vertical="center"/>
    </xf>
    <xf numFmtId="167" fontId="0" fillId="0" borderId="27" xfId="1" applyNumberFormat="1" applyFont="1" applyBorder="1" applyAlignment="1">
      <alignment horizontal="center" vertical="center"/>
    </xf>
    <xf numFmtId="167" fontId="0" fillId="10" borderId="27" xfId="1" applyNumberFormat="1" applyFont="1" applyFill="1" applyBorder="1" applyAlignment="1">
      <alignment horizontal="center" vertical="center"/>
    </xf>
    <xf numFmtId="167" fontId="0" fillId="0" borderId="31" xfId="1" applyNumberFormat="1" applyFont="1" applyFill="1" applyBorder="1" applyAlignment="1">
      <alignment horizontal="center" vertical="center"/>
    </xf>
    <xf numFmtId="14" fontId="5" fillId="0" borderId="27" xfId="0" applyNumberFormat="1" applyFont="1" applyFill="1" applyBorder="1" applyAlignment="1">
      <alignment horizontal="center" vertical="center"/>
    </xf>
    <xf numFmtId="20" fontId="5" fillId="0" borderId="27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13" borderId="27" xfId="0" applyNumberFormat="1" applyFill="1" applyBorder="1" applyAlignment="1">
      <alignment horizontal="center"/>
    </xf>
    <xf numFmtId="167" fontId="0" fillId="0" borderId="27" xfId="1" applyNumberFormat="1" applyFont="1" applyFill="1" applyBorder="1" applyAlignment="1">
      <alignment horizontal="center" vertical="center"/>
    </xf>
    <xf numFmtId="3" fontId="0" fillId="10" borderId="27" xfId="0" applyNumberFormat="1" applyFill="1" applyBorder="1"/>
    <xf numFmtId="4" fontId="11" fillId="0" borderId="27" xfId="0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1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/>
    </xf>
    <xf numFmtId="0" fontId="2" fillId="0" borderId="1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3" borderId="1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1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4" fontId="5" fillId="10" borderId="64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21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14" fontId="5" fillId="22" borderId="27" xfId="0" applyNumberFormat="1" applyFont="1" applyFill="1" applyBorder="1" applyAlignment="1">
      <alignment horizontal="center" vertical="center"/>
    </xf>
    <xf numFmtId="0" fontId="0" fillId="22" borderId="0" xfId="0" applyFill="1"/>
    <xf numFmtId="14" fontId="5" fillId="15" borderId="27" xfId="0" applyNumberFormat="1" applyFont="1" applyFill="1" applyBorder="1" applyAlignment="1">
      <alignment horizontal="center" vertical="center"/>
    </xf>
    <xf numFmtId="0" fontId="32" fillId="15" borderId="27" xfId="0" applyFont="1" applyFill="1" applyBorder="1" applyAlignment="1">
      <alignment horizontal="center" vertical="center"/>
    </xf>
    <xf numFmtId="0" fontId="32" fillId="15" borderId="27" xfId="0" applyFont="1" applyFill="1" applyBorder="1" applyAlignment="1">
      <alignment horizontal="center" vertical="center"/>
    </xf>
    <xf numFmtId="0" fontId="7" fillId="15" borderId="27" xfId="0" applyFont="1" applyFill="1" applyBorder="1" applyAlignment="1">
      <alignment horizontal="center" vertical="center"/>
    </xf>
    <xf numFmtId="0" fontId="32" fillId="12" borderId="27" xfId="0" applyFont="1" applyFill="1" applyBorder="1" applyAlignment="1">
      <alignment horizontal="center" vertical="center"/>
    </xf>
    <xf numFmtId="0" fontId="32" fillId="12" borderId="27" xfId="0" applyFont="1" applyFill="1" applyBorder="1" applyAlignment="1">
      <alignment horizontal="center" vertical="center"/>
    </xf>
    <xf numFmtId="0" fontId="7" fillId="12" borderId="2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/>
    </xf>
    <xf numFmtId="2" fontId="22" fillId="0" borderId="27" xfId="0" applyNumberFormat="1" applyFont="1" applyFill="1" applyBorder="1" applyAlignment="1">
      <alignment horizontal="center" vertical="center"/>
    </xf>
    <xf numFmtId="164" fontId="22" fillId="0" borderId="27" xfId="0" applyNumberFormat="1" applyFon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166" fontId="0" fillId="0" borderId="27" xfId="0" applyNumberFormat="1" applyFill="1" applyBorder="1"/>
    <xf numFmtId="0" fontId="32" fillId="10" borderId="27" xfId="0" applyFont="1" applyFill="1" applyBorder="1" applyAlignment="1">
      <alignment horizontal="center" vertical="center"/>
    </xf>
    <xf numFmtId="0" fontId="32" fillId="10" borderId="27" xfId="0" applyFont="1" applyFill="1" applyBorder="1" applyAlignment="1">
      <alignment horizontal="center" vertical="center"/>
    </xf>
    <xf numFmtId="0" fontId="32" fillId="10" borderId="62" xfId="0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horizontal="center" vertical="center"/>
    </xf>
    <xf numFmtId="0" fontId="32" fillId="10" borderId="64" xfId="0" applyFont="1" applyFill="1" applyBorder="1" applyAlignment="1">
      <alignment horizontal="center" vertical="center"/>
    </xf>
    <xf numFmtId="0" fontId="32" fillId="10" borderId="34" xfId="0" applyFont="1" applyFill="1" applyBorder="1" applyAlignment="1">
      <alignment horizontal="center" vertical="center"/>
    </xf>
    <xf numFmtId="0" fontId="32" fillId="10" borderId="25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7" fillId="10" borderId="27" xfId="0" applyFont="1" applyFill="1" applyBorder="1" applyAlignment="1">
      <alignment horizontal="center" vertical="center"/>
    </xf>
    <xf numFmtId="14" fontId="5" fillId="0" borderId="37" xfId="0" applyNumberFormat="1" applyFont="1" applyFill="1" applyBorder="1" applyAlignment="1">
      <alignment horizontal="center" vertical="center"/>
    </xf>
    <xf numFmtId="14" fontId="5" fillId="0" borderId="31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14" fontId="5" fillId="0" borderId="37" xfId="0" applyNumberFormat="1" applyFont="1" applyFill="1" applyBorder="1" applyAlignment="1">
      <alignment horizontal="center" vertical="center" wrapText="1"/>
    </xf>
    <xf numFmtId="14" fontId="5" fillId="0" borderId="31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0" fillId="14" borderId="27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0" fillId="19" borderId="27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14" fontId="0" fillId="15" borderId="27" xfId="0" applyNumberFormat="1" applyFill="1" applyBorder="1"/>
    <xf numFmtId="14" fontId="0" fillId="13" borderId="27" xfId="0" applyNumberFormat="1" applyFill="1" applyBorder="1"/>
    <xf numFmtId="14" fontId="0" fillId="22" borderId="27" xfId="0" applyNumberFormat="1" applyFill="1" applyBorder="1"/>
    <xf numFmtId="4" fontId="0" fillId="13" borderId="0" xfId="0" applyNumberFormat="1" applyFill="1" applyAlignment="1">
      <alignment horizontal="center"/>
    </xf>
    <xf numFmtId="3" fontId="0" fillId="13" borderId="0" xfId="0" applyNumberFormat="1" applyFill="1" applyAlignment="1">
      <alignment horizontal="center"/>
    </xf>
    <xf numFmtId="0" fontId="0" fillId="23" borderId="27" xfId="0" applyFill="1" applyBorder="1" applyAlignment="1">
      <alignment horizontal="center"/>
    </xf>
    <xf numFmtId="4" fontId="0" fillId="15" borderId="0" xfId="0" applyNumberFormat="1" applyFill="1" applyAlignment="1">
      <alignment horizontal="center"/>
    </xf>
    <xf numFmtId="3" fontId="0" fillId="15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22" borderId="0" xfId="0" applyNumberFormat="1" applyFill="1" applyAlignment="1">
      <alignment horizontal="center"/>
    </xf>
    <xf numFmtId="3" fontId="0" fillId="22" borderId="0" xfId="0" applyNumberFormat="1" applyFill="1" applyAlignment="1">
      <alignment horizontal="center"/>
    </xf>
    <xf numFmtId="0" fontId="20" fillId="0" borderId="27" xfId="0" applyFont="1" applyBorder="1" applyAlignment="1">
      <alignment horizontal="center" vertical="center"/>
    </xf>
    <xf numFmtId="0" fontId="20" fillId="23" borderId="27" xfId="0" applyFont="1" applyFill="1" applyBorder="1" applyAlignment="1">
      <alignment horizontal="center" vertical="center"/>
    </xf>
    <xf numFmtId="0" fontId="20" fillId="23" borderId="27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11" fillId="23" borderId="27" xfId="0" applyFont="1" applyFill="1" applyBorder="1" applyAlignment="1">
      <alignment horizontal="center" vertical="center"/>
    </xf>
    <xf numFmtId="0" fontId="33" fillId="23" borderId="27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23" borderId="27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4" fontId="20" fillId="0" borderId="27" xfId="0" applyNumberFormat="1" applyFont="1" applyFill="1" applyBorder="1" applyAlignment="1">
      <alignment horizontal="center" vertical="center"/>
    </xf>
    <xf numFmtId="3" fontId="20" fillId="0" borderId="27" xfId="0" applyNumberFormat="1" applyFont="1" applyFill="1" applyBorder="1" applyAlignment="1">
      <alignment horizontal="center" vertical="center"/>
    </xf>
    <xf numFmtId="4" fontId="20" fillId="23" borderId="27" xfId="0" applyNumberFormat="1" applyFont="1" applyFill="1" applyBorder="1" applyAlignment="1">
      <alignment horizontal="center" vertical="center"/>
    </xf>
    <xf numFmtId="2" fontId="20" fillId="23" borderId="27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2" fontId="20" fillId="0" borderId="27" xfId="0" applyNumberFormat="1" applyFont="1" applyFill="1" applyBorder="1" applyAlignment="1">
      <alignment horizontal="center" vertical="center"/>
    </xf>
    <xf numFmtId="3" fontId="20" fillId="23" borderId="27" xfId="0" applyNumberFormat="1" applyFont="1" applyFill="1" applyBorder="1" applyAlignment="1">
      <alignment horizontal="center" vertical="center"/>
    </xf>
    <xf numFmtId="1" fontId="20" fillId="0" borderId="27" xfId="0" applyNumberFormat="1" applyFont="1" applyFill="1" applyBorder="1" applyAlignment="1">
      <alignment horizontal="center" vertical="center"/>
    </xf>
    <xf numFmtId="165" fontId="20" fillId="0" borderId="27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worksheet" Target="worksheets/sheet3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PRODUKCJA BIOGAZU 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MEZO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47058665448394E-2"/>
          <c:y val="6.7027075923603824E-2"/>
          <c:w val="0.81167778673113078"/>
          <c:h val="0.76791483764901491"/>
        </c:manualLayout>
      </c:layout>
      <c:scatterChart>
        <c:scatterStyle val="smoothMarker"/>
        <c:varyColors val="0"/>
        <c:ser>
          <c:idx val="0"/>
          <c:order val="0"/>
          <c:tx>
            <c:v>Ilośc gazu [l/h] bez enzymów I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DANE!$AS$408:$AS$579</c:f>
              <c:numCache>
                <c:formatCode>0</c:formatCode>
                <c:ptCount val="172"/>
                <c:pt idx="0">
                  <c:v>40.231250000000124</c:v>
                </c:pt>
                <c:pt idx="1">
                  <c:v>47.774609374999876</c:v>
                </c:pt>
                <c:pt idx="2">
                  <c:v>47.774609374999876</c:v>
                </c:pt>
                <c:pt idx="3">
                  <c:v>47.774609374999876</c:v>
                </c:pt>
                <c:pt idx="4">
                  <c:v>50.2890625</c:v>
                </c:pt>
                <c:pt idx="5">
                  <c:v>50.2890625</c:v>
                </c:pt>
                <c:pt idx="6">
                  <c:v>50.2890625</c:v>
                </c:pt>
                <c:pt idx="7">
                  <c:v>40.231250000000124</c:v>
                </c:pt>
                <c:pt idx="8">
                  <c:v>32.687890625000364</c:v>
                </c:pt>
                <c:pt idx="9">
                  <c:v>32.68789062499976</c:v>
                </c:pt>
                <c:pt idx="11">
                  <c:v>2.514453124999998</c:v>
                </c:pt>
                <c:pt idx="12">
                  <c:v>25.14453125</c:v>
                </c:pt>
                <c:pt idx="13">
                  <c:v>30.173437500000006</c:v>
                </c:pt>
                <c:pt idx="14">
                  <c:v>30.173437500000006</c:v>
                </c:pt>
                <c:pt idx="15">
                  <c:v>32.687890625000001</c:v>
                </c:pt>
                <c:pt idx="16">
                  <c:v>32.687890624999987</c:v>
                </c:pt>
                <c:pt idx="17">
                  <c:v>30.173437500000016</c:v>
                </c:pt>
                <c:pt idx="18">
                  <c:v>30.173437500000016</c:v>
                </c:pt>
                <c:pt idx="19">
                  <c:v>32.687890624999987</c:v>
                </c:pt>
                <c:pt idx="20">
                  <c:v>22.630078124999994</c:v>
                </c:pt>
                <c:pt idx="21">
                  <c:v>22.630078125000029</c:v>
                </c:pt>
                <c:pt idx="22">
                  <c:v>17.601171874999977</c:v>
                </c:pt>
                <c:pt idx="23">
                  <c:v>17.601171875000016</c:v>
                </c:pt>
                <c:pt idx="24">
                  <c:v>22.630078125000029</c:v>
                </c:pt>
                <c:pt idx="25">
                  <c:v>27.658984374999971</c:v>
                </c:pt>
                <c:pt idx="26">
                  <c:v>27.658984374999971</c:v>
                </c:pt>
                <c:pt idx="27">
                  <c:v>32.687890625000058</c:v>
                </c:pt>
                <c:pt idx="28">
                  <c:v>35.202343749999955</c:v>
                </c:pt>
                <c:pt idx="29">
                  <c:v>35.202343750000033</c:v>
                </c:pt>
                <c:pt idx="30">
                  <c:v>37.716796875</c:v>
                </c:pt>
                <c:pt idx="31">
                  <c:v>35.202343750000033</c:v>
                </c:pt>
                <c:pt idx="32">
                  <c:v>40.231249999999967</c:v>
                </c:pt>
                <c:pt idx="33">
                  <c:v>37.716796875</c:v>
                </c:pt>
                <c:pt idx="34">
                  <c:v>27.658984375000045</c:v>
                </c:pt>
                <c:pt idx="35">
                  <c:v>30.173437499999938</c:v>
                </c:pt>
                <c:pt idx="36">
                  <c:v>37.716796875</c:v>
                </c:pt>
                <c:pt idx="37">
                  <c:v>35.202343750000033</c:v>
                </c:pt>
                <c:pt idx="38">
                  <c:v>40.231249999999967</c:v>
                </c:pt>
                <c:pt idx="39">
                  <c:v>27.658984374999971</c:v>
                </c:pt>
                <c:pt idx="40">
                  <c:v>32.687890625000058</c:v>
                </c:pt>
                <c:pt idx="41">
                  <c:v>37.716796875</c:v>
                </c:pt>
                <c:pt idx="42">
                  <c:v>30.173437499999938</c:v>
                </c:pt>
                <c:pt idx="43">
                  <c:v>35.202343750000033</c:v>
                </c:pt>
                <c:pt idx="44">
                  <c:v>35.202343750000033</c:v>
                </c:pt>
                <c:pt idx="45">
                  <c:v>37.716796875</c:v>
                </c:pt>
                <c:pt idx="46">
                  <c:v>40.231249999999967</c:v>
                </c:pt>
                <c:pt idx="47">
                  <c:v>32.687890625000058</c:v>
                </c:pt>
                <c:pt idx="48">
                  <c:v>32.687890625000058</c:v>
                </c:pt>
                <c:pt idx="49">
                  <c:v>42.745703124999942</c:v>
                </c:pt>
                <c:pt idx="50">
                  <c:v>42.745703124999942</c:v>
                </c:pt>
                <c:pt idx="51">
                  <c:v>40.231250000000124</c:v>
                </c:pt>
                <c:pt idx="52">
                  <c:v>45.260156249999909</c:v>
                </c:pt>
                <c:pt idx="53">
                  <c:v>35.202343750000182</c:v>
                </c:pt>
                <c:pt idx="54">
                  <c:v>40.231249999999818</c:v>
                </c:pt>
                <c:pt idx="55">
                  <c:v>40.231250000000124</c:v>
                </c:pt>
                <c:pt idx="56">
                  <c:v>40.231249999999818</c:v>
                </c:pt>
                <c:pt idx="57">
                  <c:v>42.74570312500024</c:v>
                </c:pt>
                <c:pt idx="58">
                  <c:v>42.745703124999942</c:v>
                </c:pt>
                <c:pt idx="59">
                  <c:v>35.202343749999876</c:v>
                </c:pt>
                <c:pt idx="60">
                  <c:v>35.202343750000182</c:v>
                </c:pt>
                <c:pt idx="61">
                  <c:v>37.716796875</c:v>
                </c:pt>
                <c:pt idx="62">
                  <c:v>37.716796875</c:v>
                </c:pt>
                <c:pt idx="63">
                  <c:v>35.202343749999876</c:v>
                </c:pt>
                <c:pt idx="64">
                  <c:v>32.687890625000058</c:v>
                </c:pt>
                <c:pt idx="65">
                  <c:v>32.687890625000058</c:v>
                </c:pt>
                <c:pt idx="66">
                  <c:v>35.202343749999876</c:v>
                </c:pt>
                <c:pt idx="67">
                  <c:v>37.716796875</c:v>
                </c:pt>
                <c:pt idx="68">
                  <c:v>37.716796875</c:v>
                </c:pt>
                <c:pt idx="69">
                  <c:v>27.65898437500012</c:v>
                </c:pt>
                <c:pt idx="70">
                  <c:v>37.716796875</c:v>
                </c:pt>
                <c:pt idx="71">
                  <c:v>35.202343749999876</c:v>
                </c:pt>
                <c:pt idx="72">
                  <c:v>30.173437499999938</c:v>
                </c:pt>
                <c:pt idx="73">
                  <c:v>30.173437499999938</c:v>
                </c:pt>
                <c:pt idx="74">
                  <c:v>32.687890625000058</c:v>
                </c:pt>
                <c:pt idx="75">
                  <c:v>32.687890625000058</c:v>
                </c:pt>
                <c:pt idx="76">
                  <c:v>20.115625000000062</c:v>
                </c:pt>
                <c:pt idx="77">
                  <c:v>22.63007812499988</c:v>
                </c:pt>
                <c:pt idx="78">
                  <c:v>27.65898437500012</c:v>
                </c:pt>
                <c:pt idx="79">
                  <c:v>35.202343749999876</c:v>
                </c:pt>
                <c:pt idx="80">
                  <c:v>32.687890625000058</c:v>
                </c:pt>
                <c:pt idx="82">
                  <c:v>25.14453125</c:v>
                </c:pt>
                <c:pt idx="83">
                  <c:v>27.658984375000006</c:v>
                </c:pt>
                <c:pt idx="84">
                  <c:v>27.658984374999999</c:v>
                </c:pt>
                <c:pt idx="85">
                  <c:v>30.173437500000006</c:v>
                </c:pt>
                <c:pt idx="86">
                  <c:v>25.14453125</c:v>
                </c:pt>
                <c:pt idx="87">
                  <c:v>27.658984375000006</c:v>
                </c:pt>
                <c:pt idx="88">
                  <c:v>35.202343750000011</c:v>
                </c:pt>
                <c:pt idx="89">
                  <c:v>32.687890624999987</c:v>
                </c:pt>
                <c:pt idx="90">
                  <c:v>35.20234374999999</c:v>
                </c:pt>
                <c:pt idx="91">
                  <c:v>35.202343750000033</c:v>
                </c:pt>
                <c:pt idx="92">
                  <c:v>37.716796875</c:v>
                </c:pt>
                <c:pt idx="93">
                  <c:v>30.173437499999977</c:v>
                </c:pt>
                <c:pt idx="94">
                  <c:v>37.716796875</c:v>
                </c:pt>
                <c:pt idx="95">
                  <c:v>32.687890624999987</c:v>
                </c:pt>
                <c:pt idx="96">
                  <c:v>40.231250000000045</c:v>
                </c:pt>
                <c:pt idx="97">
                  <c:v>45.260156249999987</c:v>
                </c:pt>
                <c:pt idx="98">
                  <c:v>40.231250000000045</c:v>
                </c:pt>
                <c:pt idx="99">
                  <c:v>37.716796875</c:v>
                </c:pt>
                <c:pt idx="100">
                  <c:v>37.716796875</c:v>
                </c:pt>
                <c:pt idx="101">
                  <c:v>25.14453125</c:v>
                </c:pt>
                <c:pt idx="102">
                  <c:v>15.086718749999969</c:v>
                </c:pt>
                <c:pt idx="103">
                  <c:v>15.086718750000045</c:v>
                </c:pt>
                <c:pt idx="104">
                  <c:v>45.260156249999909</c:v>
                </c:pt>
                <c:pt idx="105">
                  <c:v>42.745703125000091</c:v>
                </c:pt>
                <c:pt idx="106">
                  <c:v>32.687890624999909</c:v>
                </c:pt>
                <c:pt idx="107">
                  <c:v>30.173437500000091</c:v>
                </c:pt>
                <c:pt idx="108">
                  <c:v>35.202343750000033</c:v>
                </c:pt>
                <c:pt idx="109">
                  <c:v>37.716796875</c:v>
                </c:pt>
                <c:pt idx="110">
                  <c:v>35.202343749999876</c:v>
                </c:pt>
                <c:pt idx="111">
                  <c:v>30.173437500000091</c:v>
                </c:pt>
                <c:pt idx="112">
                  <c:v>37.716796875</c:v>
                </c:pt>
                <c:pt idx="113">
                  <c:v>42.745703124999942</c:v>
                </c:pt>
                <c:pt idx="114">
                  <c:v>35.202343750000033</c:v>
                </c:pt>
                <c:pt idx="115">
                  <c:v>30.173437500000091</c:v>
                </c:pt>
                <c:pt idx="116">
                  <c:v>30.173437499999938</c:v>
                </c:pt>
                <c:pt idx="117">
                  <c:v>35.202343750000033</c:v>
                </c:pt>
                <c:pt idx="118">
                  <c:v>47.774609375000033</c:v>
                </c:pt>
                <c:pt idx="119">
                  <c:v>40.231249999999967</c:v>
                </c:pt>
                <c:pt idx="120">
                  <c:v>37.716796875</c:v>
                </c:pt>
                <c:pt idx="121">
                  <c:v>35.202343750000033</c:v>
                </c:pt>
                <c:pt idx="122">
                  <c:v>57.832421874999909</c:v>
                </c:pt>
                <c:pt idx="123">
                  <c:v>57.832421875000058</c:v>
                </c:pt>
                <c:pt idx="124">
                  <c:v>52.803515625000124</c:v>
                </c:pt>
                <c:pt idx="125">
                  <c:v>52.803515624999818</c:v>
                </c:pt>
                <c:pt idx="126">
                  <c:v>50.2890625</c:v>
                </c:pt>
                <c:pt idx="127">
                  <c:v>47.774609375000182</c:v>
                </c:pt>
                <c:pt idx="128">
                  <c:v>42.745703124999942</c:v>
                </c:pt>
                <c:pt idx="129">
                  <c:v>42.745703124999942</c:v>
                </c:pt>
                <c:pt idx="130">
                  <c:v>45.260156250000058</c:v>
                </c:pt>
                <c:pt idx="131">
                  <c:v>42.745703124999942</c:v>
                </c:pt>
                <c:pt idx="132">
                  <c:v>37.716796875</c:v>
                </c:pt>
                <c:pt idx="133">
                  <c:v>37.716796875</c:v>
                </c:pt>
                <c:pt idx="134">
                  <c:v>42.745703124999942</c:v>
                </c:pt>
                <c:pt idx="135">
                  <c:v>35.202343750000182</c:v>
                </c:pt>
                <c:pt idx="136">
                  <c:v>32.68789062499976</c:v>
                </c:pt>
                <c:pt idx="137">
                  <c:v>35.202343750000182</c:v>
                </c:pt>
                <c:pt idx="138">
                  <c:v>37.716796875</c:v>
                </c:pt>
                <c:pt idx="139">
                  <c:v>32.687890625000058</c:v>
                </c:pt>
                <c:pt idx="140">
                  <c:v>27.658984374999818</c:v>
                </c:pt>
                <c:pt idx="141">
                  <c:v>52.803515625000323</c:v>
                </c:pt>
                <c:pt idx="142">
                  <c:v>37.716796875</c:v>
                </c:pt>
                <c:pt idx="143">
                  <c:v>37.716796875</c:v>
                </c:pt>
                <c:pt idx="144">
                  <c:v>37.716796875</c:v>
                </c:pt>
                <c:pt idx="145">
                  <c:v>42.745703124999942</c:v>
                </c:pt>
                <c:pt idx="146">
                  <c:v>57.832421875000058</c:v>
                </c:pt>
                <c:pt idx="147">
                  <c:v>60.346874999999876</c:v>
                </c:pt>
                <c:pt idx="148">
                  <c:v>55.317968749999942</c:v>
                </c:pt>
                <c:pt idx="149">
                  <c:v>52.803515625000124</c:v>
                </c:pt>
                <c:pt idx="150">
                  <c:v>55.317968749999942</c:v>
                </c:pt>
                <c:pt idx="151">
                  <c:v>47.774609375000182</c:v>
                </c:pt>
                <c:pt idx="152">
                  <c:v>52.803515624999818</c:v>
                </c:pt>
                <c:pt idx="153">
                  <c:v>52.803515625000124</c:v>
                </c:pt>
                <c:pt idx="154">
                  <c:v>52.803515625000124</c:v>
                </c:pt>
                <c:pt idx="155">
                  <c:v>45.26015624999976</c:v>
                </c:pt>
                <c:pt idx="156">
                  <c:v>42.74570312500024</c:v>
                </c:pt>
                <c:pt idx="157">
                  <c:v>27.65898437500012</c:v>
                </c:pt>
                <c:pt idx="158">
                  <c:v>60.346874999999876</c:v>
                </c:pt>
                <c:pt idx="159">
                  <c:v>50.2890625</c:v>
                </c:pt>
                <c:pt idx="160">
                  <c:v>37.716796875</c:v>
                </c:pt>
                <c:pt idx="161">
                  <c:v>45.26015624999976</c:v>
                </c:pt>
                <c:pt idx="162">
                  <c:v>57.832421875000364</c:v>
                </c:pt>
                <c:pt idx="163">
                  <c:v>50.2890625</c:v>
                </c:pt>
                <c:pt idx="164">
                  <c:v>50.2890625</c:v>
                </c:pt>
                <c:pt idx="165">
                  <c:v>52.803515624999513</c:v>
                </c:pt>
                <c:pt idx="166">
                  <c:v>40.231250000000124</c:v>
                </c:pt>
                <c:pt idx="167">
                  <c:v>35.202343749999876</c:v>
                </c:pt>
                <c:pt idx="168">
                  <c:v>37.716796875</c:v>
                </c:pt>
                <c:pt idx="169">
                  <c:v>32.687890625000364</c:v>
                </c:pt>
                <c:pt idx="170">
                  <c:v>37.716796875</c:v>
                </c:pt>
                <c:pt idx="171">
                  <c:v>42.745703124999636</c:v>
                </c:pt>
              </c:numCache>
            </c:numRef>
          </c:yVal>
          <c:smooth val="1"/>
        </c:ser>
        <c:ser>
          <c:idx val="1"/>
          <c:order val="1"/>
          <c:tx>
            <c:v>Ilość gazu-enzymy 20% [l/h]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DANE!$AS$580:$AS$627</c:f>
              <c:numCache>
                <c:formatCode>0</c:formatCode>
                <c:ptCount val="48"/>
                <c:pt idx="0">
                  <c:v>32.687890625000364</c:v>
                </c:pt>
                <c:pt idx="1">
                  <c:v>47.774609374999876</c:v>
                </c:pt>
                <c:pt idx="2">
                  <c:v>55.31796875000024</c:v>
                </c:pt>
                <c:pt idx="3">
                  <c:v>57.83242187499976</c:v>
                </c:pt>
                <c:pt idx="4">
                  <c:v>52.803515625000124</c:v>
                </c:pt>
                <c:pt idx="5">
                  <c:v>55.317968749999636</c:v>
                </c:pt>
                <c:pt idx="6">
                  <c:v>37.716796875</c:v>
                </c:pt>
                <c:pt idx="7">
                  <c:v>30.173437500000244</c:v>
                </c:pt>
                <c:pt idx="8">
                  <c:v>32.68789062499976</c:v>
                </c:pt>
                <c:pt idx="9">
                  <c:v>37.716796875</c:v>
                </c:pt>
                <c:pt idx="10">
                  <c:v>32.687890625000364</c:v>
                </c:pt>
                <c:pt idx="11">
                  <c:v>16.972558593749902</c:v>
                </c:pt>
                <c:pt idx="12">
                  <c:v>30.173437500000244</c:v>
                </c:pt>
                <c:pt idx="13">
                  <c:v>32.68789062499976</c:v>
                </c:pt>
                <c:pt idx="14">
                  <c:v>27.65898437500012</c:v>
                </c:pt>
                <c:pt idx="15">
                  <c:v>47.774609374999876</c:v>
                </c:pt>
                <c:pt idx="16">
                  <c:v>57.83242187499976</c:v>
                </c:pt>
                <c:pt idx="17">
                  <c:v>55.31796875000024</c:v>
                </c:pt>
                <c:pt idx="18">
                  <c:v>60.346874999999876</c:v>
                </c:pt>
                <c:pt idx="19">
                  <c:v>55.31796875000024</c:v>
                </c:pt>
                <c:pt idx="20">
                  <c:v>57.83242187499976</c:v>
                </c:pt>
                <c:pt idx="21">
                  <c:v>57.832421875000364</c:v>
                </c:pt>
                <c:pt idx="22">
                  <c:v>65.375781250000117</c:v>
                </c:pt>
                <c:pt idx="23">
                  <c:v>67.890234374999636</c:v>
                </c:pt>
                <c:pt idx="24">
                  <c:v>70.404687500000364</c:v>
                </c:pt>
                <c:pt idx="25">
                  <c:v>70.404687499999753</c:v>
                </c:pt>
                <c:pt idx="26">
                  <c:v>60.346874999999876</c:v>
                </c:pt>
                <c:pt idx="27">
                  <c:v>50.2890625</c:v>
                </c:pt>
                <c:pt idx="28">
                  <c:v>50.2890625</c:v>
                </c:pt>
                <c:pt idx="29">
                  <c:v>50.2890625</c:v>
                </c:pt>
                <c:pt idx="30">
                  <c:v>37.716796875</c:v>
                </c:pt>
                <c:pt idx="31">
                  <c:v>52.803515625000124</c:v>
                </c:pt>
                <c:pt idx="32">
                  <c:v>40.231250000000124</c:v>
                </c:pt>
                <c:pt idx="33">
                  <c:v>32.68789062499976</c:v>
                </c:pt>
                <c:pt idx="34">
                  <c:v>50.2890625</c:v>
                </c:pt>
                <c:pt idx="35">
                  <c:v>42.74570312500024</c:v>
                </c:pt>
                <c:pt idx="36">
                  <c:v>42.745703124999636</c:v>
                </c:pt>
                <c:pt idx="37">
                  <c:v>27.65898437500012</c:v>
                </c:pt>
                <c:pt idx="38">
                  <c:v>55.31796875000024</c:v>
                </c:pt>
                <c:pt idx="39">
                  <c:v>47.774609375000487</c:v>
                </c:pt>
                <c:pt idx="40">
                  <c:v>37.716796875</c:v>
                </c:pt>
                <c:pt idx="41">
                  <c:v>47.774609374999272</c:v>
                </c:pt>
                <c:pt idx="42">
                  <c:v>40.231250000000728</c:v>
                </c:pt>
                <c:pt idx="43">
                  <c:v>27.658984374999516</c:v>
                </c:pt>
                <c:pt idx="44">
                  <c:v>25.14453125</c:v>
                </c:pt>
                <c:pt idx="45">
                  <c:v>15.086718749999514</c:v>
                </c:pt>
                <c:pt idx="46">
                  <c:v>30.173437500000244</c:v>
                </c:pt>
                <c:pt idx="47">
                  <c:v>42.74570312500024</c:v>
                </c:pt>
              </c:numCache>
            </c:numRef>
          </c:yVal>
          <c:smooth val="1"/>
        </c:ser>
        <c:ser>
          <c:idx val="2"/>
          <c:order val="2"/>
          <c:tx>
            <c:v>Ilość gazu [l/h]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DANE!$AS$628:$AS$714</c:f>
              <c:numCache>
                <c:formatCode>0</c:formatCode>
                <c:ptCount val="87"/>
                <c:pt idx="0">
                  <c:v>35.202343750000487</c:v>
                </c:pt>
                <c:pt idx="1">
                  <c:v>32.68789062499976</c:v>
                </c:pt>
                <c:pt idx="2">
                  <c:v>27.658984374999516</c:v>
                </c:pt>
                <c:pt idx="3">
                  <c:v>22.630078125000484</c:v>
                </c:pt>
                <c:pt idx="4">
                  <c:v>17.601171875000244</c:v>
                </c:pt>
                <c:pt idx="5">
                  <c:v>17.601171874999029</c:v>
                </c:pt>
                <c:pt idx="6">
                  <c:v>15.086718750000728</c:v>
                </c:pt>
                <c:pt idx="7">
                  <c:v>17.601171875000244</c:v>
                </c:pt>
                <c:pt idx="8">
                  <c:v>15.086718749999514</c:v>
                </c:pt>
                <c:pt idx="9">
                  <c:v>17.601171875000244</c:v>
                </c:pt>
                <c:pt idx="10">
                  <c:v>15.086718749999514</c:v>
                </c:pt>
                <c:pt idx="11">
                  <c:v>15.086718750000728</c:v>
                </c:pt>
                <c:pt idx="12">
                  <c:v>17.601171874999029</c:v>
                </c:pt>
                <c:pt idx="13">
                  <c:v>15.086718750000728</c:v>
                </c:pt>
                <c:pt idx="14">
                  <c:v>15.086718749999514</c:v>
                </c:pt>
                <c:pt idx="15">
                  <c:v>12.572265625</c:v>
                </c:pt>
                <c:pt idx="16">
                  <c:v>15.086718750000728</c:v>
                </c:pt>
                <c:pt idx="17">
                  <c:v>10.057812499999272</c:v>
                </c:pt>
                <c:pt idx="18">
                  <c:v>15.086718750000728</c:v>
                </c:pt>
                <c:pt idx="19">
                  <c:v>12.572265625</c:v>
                </c:pt>
                <c:pt idx="20">
                  <c:v>15.086718749999514</c:v>
                </c:pt>
                <c:pt idx="21">
                  <c:v>12.572265625</c:v>
                </c:pt>
                <c:pt idx="22">
                  <c:v>15.086718749999514</c:v>
                </c:pt>
                <c:pt idx="23">
                  <c:v>15.086718750000728</c:v>
                </c:pt>
                <c:pt idx="24">
                  <c:v>15.086718749999514</c:v>
                </c:pt>
                <c:pt idx="25">
                  <c:v>15.086718750000728</c:v>
                </c:pt>
                <c:pt idx="26">
                  <c:v>12.572265625</c:v>
                </c:pt>
                <c:pt idx="27">
                  <c:v>12.572265625</c:v>
                </c:pt>
                <c:pt idx="28">
                  <c:v>15.086718749999514</c:v>
                </c:pt>
                <c:pt idx="29">
                  <c:v>12.572265625</c:v>
                </c:pt>
                <c:pt idx="30">
                  <c:v>12.572265625</c:v>
                </c:pt>
                <c:pt idx="31">
                  <c:v>10.057812500000486</c:v>
                </c:pt>
                <c:pt idx="32">
                  <c:v>12.572265625</c:v>
                </c:pt>
                <c:pt idx="33">
                  <c:v>10.057812499999272</c:v>
                </c:pt>
                <c:pt idx="34">
                  <c:v>12.572265625</c:v>
                </c:pt>
                <c:pt idx="35">
                  <c:v>12.572265625</c:v>
                </c:pt>
                <c:pt idx="36">
                  <c:v>10.057812500000486</c:v>
                </c:pt>
                <c:pt idx="37">
                  <c:v>12.572265625</c:v>
                </c:pt>
                <c:pt idx="38">
                  <c:v>10.057812499999272</c:v>
                </c:pt>
                <c:pt idx="39">
                  <c:v>12.572265625</c:v>
                </c:pt>
                <c:pt idx="40">
                  <c:v>12.572265625</c:v>
                </c:pt>
                <c:pt idx="41">
                  <c:v>10.057812500000486</c:v>
                </c:pt>
                <c:pt idx="42">
                  <c:v>12.572265625</c:v>
                </c:pt>
                <c:pt idx="43">
                  <c:v>12.572265625</c:v>
                </c:pt>
                <c:pt idx="44">
                  <c:v>12.572265625</c:v>
                </c:pt>
                <c:pt idx="45">
                  <c:v>17.601171875000244</c:v>
                </c:pt>
                <c:pt idx="46">
                  <c:v>22.630078124999272</c:v>
                </c:pt>
                <c:pt idx="47">
                  <c:v>27.658984375000728</c:v>
                </c:pt>
                <c:pt idx="48">
                  <c:v>27.658984374999516</c:v>
                </c:pt>
                <c:pt idx="49">
                  <c:v>37.716796875</c:v>
                </c:pt>
                <c:pt idx="50">
                  <c:v>40.231250000000728</c:v>
                </c:pt>
                <c:pt idx="51">
                  <c:v>42.745703124999032</c:v>
                </c:pt>
                <c:pt idx="52">
                  <c:v>50.2890625</c:v>
                </c:pt>
                <c:pt idx="53">
                  <c:v>50.2890625</c:v>
                </c:pt>
                <c:pt idx="54">
                  <c:v>42.74570312500024</c:v>
                </c:pt>
                <c:pt idx="55">
                  <c:v>42.74570312500024</c:v>
                </c:pt>
                <c:pt idx="56">
                  <c:v>35.202343750000487</c:v>
                </c:pt>
                <c:pt idx="57">
                  <c:v>37.716796875</c:v>
                </c:pt>
                <c:pt idx="58">
                  <c:v>27.658984374999516</c:v>
                </c:pt>
                <c:pt idx="59">
                  <c:v>27.658984374999516</c:v>
                </c:pt>
                <c:pt idx="60">
                  <c:v>30.173437500000244</c:v>
                </c:pt>
                <c:pt idx="61">
                  <c:v>30.173437500000244</c:v>
                </c:pt>
                <c:pt idx="62">
                  <c:v>40.231249999999513</c:v>
                </c:pt>
                <c:pt idx="63">
                  <c:v>37.716796875</c:v>
                </c:pt>
                <c:pt idx="64">
                  <c:v>47.774609375000487</c:v>
                </c:pt>
                <c:pt idx="65">
                  <c:v>40.231249999999513</c:v>
                </c:pt>
                <c:pt idx="66">
                  <c:v>35.202343750000487</c:v>
                </c:pt>
                <c:pt idx="67">
                  <c:v>37.716796875</c:v>
                </c:pt>
                <c:pt idx="68">
                  <c:v>37.716796875</c:v>
                </c:pt>
                <c:pt idx="69">
                  <c:v>32.68789062499976</c:v>
                </c:pt>
                <c:pt idx="70">
                  <c:v>40.231250000000728</c:v>
                </c:pt>
                <c:pt idx="71">
                  <c:v>37.716796875</c:v>
                </c:pt>
                <c:pt idx="72">
                  <c:v>35.202343749999272</c:v>
                </c:pt>
                <c:pt idx="73">
                  <c:v>37.716796875</c:v>
                </c:pt>
                <c:pt idx="74">
                  <c:v>50.2890625</c:v>
                </c:pt>
                <c:pt idx="75">
                  <c:v>32.68789062499976</c:v>
                </c:pt>
                <c:pt idx="76">
                  <c:v>50.2890625</c:v>
                </c:pt>
                <c:pt idx="77">
                  <c:v>45.260156250000968</c:v>
                </c:pt>
                <c:pt idx="78">
                  <c:v>32.68789062499976</c:v>
                </c:pt>
                <c:pt idx="79">
                  <c:v>27.658984374999516</c:v>
                </c:pt>
                <c:pt idx="80">
                  <c:v>27.658984375000728</c:v>
                </c:pt>
                <c:pt idx="81">
                  <c:v>25.14453125</c:v>
                </c:pt>
                <c:pt idx="82">
                  <c:v>25.14453125</c:v>
                </c:pt>
                <c:pt idx="83">
                  <c:v>22.630078124999272</c:v>
                </c:pt>
                <c:pt idx="84">
                  <c:v>25.14453125</c:v>
                </c:pt>
                <c:pt idx="85">
                  <c:v>25.14453125</c:v>
                </c:pt>
                <c:pt idx="86">
                  <c:v>25.14453125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3120"/>
        <c:axId val="76653696"/>
      </c:scatterChart>
      <c:valAx>
        <c:axId val="76653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653696"/>
        <c:crosses val="autoZero"/>
        <c:crossBetween val="midCat"/>
        <c:majorUnit val="15"/>
      </c:valAx>
      <c:valAx>
        <c:axId val="76653696"/>
        <c:scaling>
          <c:orientation val="minMax"/>
          <c:max val="9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 ILOŚĆ WYPRODUKOWANEGO BIOGAZU  [l/h]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6531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3367370787965757E-2"/>
          <c:y val="0.94547264664017372"/>
          <c:w val="0.90882550633064418"/>
          <c:h val="5.4527353359826884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JAKOŚĆ BIOGAZ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TERMO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47058665448394E-2"/>
          <c:y val="6.0760757385744539E-2"/>
          <c:w val="0.81167778673113078"/>
          <c:h val="0.76791483764901491"/>
        </c:manualLayout>
      </c:layout>
      <c:scatterChart>
        <c:scatterStyle val="smoothMarker"/>
        <c:varyColors val="0"/>
        <c:ser>
          <c:idx val="0"/>
          <c:order val="0"/>
          <c:tx>
            <c:v>CH4  [%]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FF505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DANE!$CI$408:$CI$714</c:f>
              <c:numCache>
                <c:formatCode>General</c:formatCode>
                <c:ptCount val="307"/>
                <c:pt idx="6">
                  <c:v>69.099999999999994</c:v>
                </c:pt>
                <c:pt idx="14">
                  <c:v>67.900000000000006</c:v>
                </c:pt>
                <c:pt idx="20">
                  <c:v>65.099999999999994</c:v>
                </c:pt>
                <c:pt idx="28">
                  <c:v>67.400000000000006</c:v>
                </c:pt>
                <c:pt idx="35">
                  <c:v>66.8</c:v>
                </c:pt>
                <c:pt idx="41">
                  <c:v>67.3</c:v>
                </c:pt>
                <c:pt idx="48">
                  <c:v>66.099999999999994</c:v>
                </c:pt>
                <c:pt idx="55">
                  <c:v>68.2</c:v>
                </c:pt>
                <c:pt idx="78">
                  <c:v>66.2</c:v>
                </c:pt>
                <c:pt idx="142">
                  <c:v>68.400000000000006</c:v>
                </c:pt>
                <c:pt idx="148">
                  <c:v>66.400000000000006</c:v>
                </c:pt>
                <c:pt idx="160">
                  <c:v>69.7</c:v>
                </c:pt>
                <c:pt idx="169">
                  <c:v>68.5</c:v>
                </c:pt>
                <c:pt idx="175">
                  <c:v>67.900000000000006</c:v>
                </c:pt>
                <c:pt idx="183">
                  <c:v>70.8</c:v>
                </c:pt>
                <c:pt idx="190">
                  <c:v>65.7</c:v>
                </c:pt>
                <c:pt idx="207">
                  <c:v>68.099999999999994</c:v>
                </c:pt>
                <c:pt idx="210">
                  <c:v>67.900000000000006</c:v>
                </c:pt>
                <c:pt idx="252">
                  <c:v>62.5</c:v>
                </c:pt>
                <c:pt idx="259">
                  <c:v>62.9</c:v>
                </c:pt>
                <c:pt idx="273">
                  <c:v>72</c:v>
                </c:pt>
                <c:pt idx="280">
                  <c:v>70.3</c:v>
                </c:pt>
                <c:pt idx="287">
                  <c:v>68.900000000000006</c:v>
                </c:pt>
                <c:pt idx="294">
                  <c:v>71</c:v>
                </c:pt>
                <c:pt idx="301">
                  <c:v>68.400000000000006</c:v>
                </c:pt>
              </c:numCache>
            </c:numRef>
          </c:yVal>
          <c:smooth val="1"/>
        </c:ser>
        <c:ser>
          <c:idx val="1"/>
          <c:order val="1"/>
          <c:tx>
            <c:v>CO2 [%]</c:v>
          </c:tx>
          <c:spPr>
            <a:ln>
              <a:solidFill>
                <a:srgbClr val="800000"/>
              </a:solidFill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DANE!$CJ$408:$CJ$714</c:f>
              <c:numCache>
                <c:formatCode>General</c:formatCode>
                <c:ptCount val="307"/>
                <c:pt idx="6">
                  <c:v>30.8</c:v>
                </c:pt>
                <c:pt idx="14">
                  <c:v>32</c:v>
                </c:pt>
                <c:pt idx="20">
                  <c:v>31.8</c:v>
                </c:pt>
                <c:pt idx="28">
                  <c:v>31.6</c:v>
                </c:pt>
                <c:pt idx="35">
                  <c:v>32.200000000000003</c:v>
                </c:pt>
                <c:pt idx="41">
                  <c:v>32.6</c:v>
                </c:pt>
                <c:pt idx="48">
                  <c:v>33.799999999999997</c:v>
                </c:pt>
                <c:pt idx="55">
                  <c:v>31.7</c:v>
                </c:pt>
                <c:pt idx="78">
                  <c:v>33.200000000000003</c:v>
                </c:pt>
                <c:pt idx="142">
                  <c:v>31.5</c:v>
                </c:pt>
                <c:pt idx="148">
                  <c:v>33.5</c:v>
                </c:pt>
                <c:pt idx="160">
                  <c:v>30.2</c:v>
                </c:pt>
                <c:pt idx="169">
                  <c:v>31.4</c:v>
                </c:pt>
                <c:pt idx="175">
                  <c:v>32</c:v>
                </c:pt>
                <c:pt idx="183">
                  <c:v>29.1</c:v>
                </c:pt>
                <c:pt idx="190">
                  <c:v>34.200000000000003</c:v>
                </c:pt>
                <c:pt idx="207">
                  <c:v>31.8</c:v>
                </c:pt>
                <c:pt idx="210">
                  <c:v>32</c:v>
                </c:pt>
                <c:pt idx="252">
                  <c:v>37.4</c:v>
                </c:pt>
                <c:pt idx="259">
                  <c:v>36.799999999999997</c:v>
                </c:pt>
                <c:pt idx="273">
                  <c:v>27.4</c:v>
                </c:pt>
                <c:pt idx="280">
                  <c:v>27.7</c:v>
                </c:pt>
                <c:pt idx="287">
                  <c:v>28.8</c:v>
                </c:pt>
                <c:pt idx="294">
                  <c:v>28.9</c:v>
                </c:pt>
                <c:pt idx="301">
                  <c:v>29.5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07776"/>
        <c:axId val="152105472"/>
      </c:scatterChart>
      <c:scatterChart>
        <c:scatterStyle val="smoothMarker"/>
        <c:varyColors val="0"/>
        <c:ser>
          <c:idx val="2"/>
          <c:order val="2"/>
          <c:tx>
            <c:v>H2S [ppm]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DANE!$CM$408:$CM$714</c:f>
              <c:numCache>
                <c:formatCode>General</c:formatCode>
                <c:ptCount val="307"/>
                <c:pt idx="6">
                  <c:v>195</c:v>
                </c:pt>
                <c:pt idx="14">
                  <c:v>185</c:v>
                </c:pt>
                <c:pt idx="20">
                  <c:v>105</c:v>
                </c:pt>
                <c:pt idx="28">
                  <c:v>215</c:v>
                </c:pt>
                <c:pt idx="35">
                  <c:v>235</c:v>
                </c:pt>
                <c:pt idx="41">
                  <c:v>225</c:v>
                </c:pt>
                <c:pt idx="48">
                  <c:v>275</c:v>
                </c:pt>
                <c:pt idx="55">
                  <c:v>320</c:v>
                </c:pt>
                <c:pt idx="78">
                  <c:v>330</c:v>
                </c:pt>
                <c:pt idx="142">
                  <c:v>150</c:v>
                </c:pt>
                <c:pt idx="148">
                  <c:v>125</c:v>
                </c:pt>
                <c:pt idx="160">
                  <c:v>155</c:v>
                </c:pt>
                <c:pt idx="169">
                  <c:v>195</c:v>
                </c:pt>
                <c:pt idx="175">
                  <c:v>135</c:v>
                </c:pt>
                <c:pt idx="183">
                  <c:v>85</c:v>
                </c:pt>
                <c:pt idx="190">
                  <c:v>115</c:v>
                </c:pt>
                <c:pt idx="207">
                  <c:v>145</c:v>
                </c:pt>
                <c:pt idx="210">
                  <c:v>235</c:v>
                </c:pt>
                <c:pt idx="252">
                  <c:v>130</c:v>
                </c:pt>
                <c:pt idx="259">
                  <c:v>105</c:v>
                </c:pt>
                <c:pt idx="273">
                  <c:v>120</c:v>
                </c:pt>
                <c:pt idx="280">
                  <c:v>45</c:v>
                </c:pt>
                <c:pt idx="287">
                  <c:v>85</c:v>
                </c:pt>
                <c:pt idx="294">
                  <c:v>160</c:v>
                </c:pt>
                <c:pt idx="301">
                  <c:v>130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08352"/>
        <c:axId val="152698880"/>
      </c:scatterChart>
      <c:valAx>
        <c:axId val="1521077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5472"/>
        <c:crosses val="autoZero"/>
        <c:crossBetween val="midCat"/>
        <c:majorUnit val="15"/>
      </c:valAx>
      <c:valAx>
        <c:axId val="152105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10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CH</a:t>
                </a:r>
                <a:r>
                  <a:rPr lang="pl-PL" sz="1800" b="1" i="0" strike="noStrike" baseline="-25000">
                    <a:solidFill>
                      <a:srgbClr val="000000"/>
                    </a:solidFill>
                    <a:latin typeface="Calibri"/>
                  </a:rPr>
                  <a:t>4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 i CO</a:t>
                </a:r>
                <a:r>
                  <a:rPr lang="pl-PL" sz="1800" b="1" i="0" strike="noStrike" baseline="-25000">
                    <a:solidFill>
                      <a:srgbClr val="000000"/>
                    </a:solidFill>
                    <a:latin typeface="Calibri"/>
                  </a:rPr>
                  <a:t>2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[%]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 sz="1800" b="1" i="0" strike="noStrike">
                  <a:solidFill>
                    <a:srgbClr val="000000"/>
                  </a:solidFill>
                  <a:latin typeface="Calibri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7776"/>
        <c:crosses val="autoZero"/>
        <c:crossBetween val="midCat"/>
      </c:valAx>
      <c:valAx>
        <c:axId val="1521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2698880"/>
        <c:crosses val="autoZero"/>
        <c:crossBetween val="midCat"/>
      </c:valAx>
      <c:valAx>
        <c:axId val="15269888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H</a:t>
                </a:r>
                <a:r>
                  <a:rPr lang="pl-PL" sz="1800" b="1" i="0" strike="noStrike" baseline="-25000">
                    <a:solidFill>
                      <a:srgbClr val="000000"/>
                    </a:solidFill>
                    <a:latin typeface="Calibri"/>
                  </a:rPr>
                  <a:t>2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S [ppm]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8352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0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PRODUKCJA BIOGAZU 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TERMO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34430679100522E-2"/>
          <c:y val="6.7027075923603824E-2"/>
          <c:w val="0.81167778673113078"/>
          <c:h val="0.76791483764901491"/>
        </c:manualLayout>
      </c:layout>
      <c:scatterChart>
        <c:scatterStyle val="smoothMarker"/>
        <c:varyColors val="0"/>
        <c:ser>
          <c:idx val="0"/>
          <c:order val="0"/>
          <c:tx>
            <c:v>Ilośc gazu [l/h] bez enzymów I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DANE!$CD$408:$CD$579</c:f>
              <c:numCache>
                <c:formatCode>#,##0</c:formatCode>
                <c:ptCount val="172"/>
                <c:pt idx="0">
                  <c:v>33.219401041666664</c:v>
                </c:pt>
                <c:pt idx="1">
                  <c:v>33.219401041666664</c:v>
                </c:pt>
                <c:pt idx="2">
                  <c:v>33.219401041666664</c:v>
                </c:pt>
                <c:pt idx="3">
                  <c:v>33.219401041666664</c:v>
                </c:pt>
                <c:pt idx="4">
                  <c:v>33.219401041666664</c:v>
                </c:pt>
                <c:pt idx="5">
                  <c:v>28.108723958333332</c:v>
                </c:pt>
                <c:pt idx="6">
                  <c:v>30.6640625</c:v>
                </c:pt>
                <c:pt idx="7">
                  <c:v>30.6640625</c:v>
                </c:pt>
                <c:pt idx="8">
                  <c:v>22.998046875</c:v>
                </c:pt>
                <c:pt idx="9">
                  <c:v>20.442708333333332</c:v>
                </c:pt>
                <c:pt idx="11">
                  <c:v>15.33203125</c:v>
                </c:pt>
                <c:pt idx="12">
                  <c:v>15.33203125</c:v>
                </c:pt>
                <c:pt idx="13">
                  <c:v>17.887369791666668</c:v>
                </c:pt>
                <c:pt idx="14">
                  <c:v>20.442708333333332</c:v>
                </c:pt>
                <c:pt idx="15">
                  <c:v>17.887369791666668</c:v>
                </c:pt>
                <c:pt idx="16">
                  <c:v>17.887369791666668</c:v>
                </c:pt>
                <c:pt idx="17">
                  <c:v>15.33203125</c:v>
                </c:pt>
                <c:pt idx="18">
                  <c:v>22.998046875</c:v>
                </c:pt>
                <c:pt idx="19">
                  <c:v>17.887369791666668</c:v>
                </c:pt>
                <c:pt idx="20">
                  <c:v>15.33203125</c:v>
                </c:pt>
                <c:pt idx="21">
                  <c:v>12.776692708333334</c:v>
                </c:pt>
                <c:pt idx="22">
                  <c:v>12.776692708333334</c:v>
                </c:pt>
                <c:pt idx="23">
                  <c:v>10.221354166666666</c:v>
                </c:pt>
                <c:pt idx="24">
                  <c:v>12.776692708333334</c:v>
                </c:pt>
                <c:pt idx="25">
                  <c:v>20.442708333333332</c:v>
                </c:pt>
                <c:pt idx="26">
                  <c:v>17.887369791666668</c:v>
                </c:pt>
                <c:pt idx="27">
                  <c:v>20.442708333333332</c:v>
                </c:pt>
                <c:pt idx="28">
                  <c:v>20.442708333333332</c:v>
                </c:pt>
                <c:pt idx="29">
                  <c:v>22.998046875</c:v>
                </c:pt>
                <c:pt idx="30">
                  <c:v>22.998046875</c:v>
                </c:pt>
                <c:pt idx="31">
                  <c:v>22.998046875</c:v>
                </c:pt>
                <c:pt idx="32">
                  <c:v>22.998046875</c:v>
                </c:pt>
                <c:pt idx="33">
                  <c:v>20.442708333333332</c:v>
                </c:pt>
                <c:pt idx="34">
                  <c:v>17.887369791666668</c:v>
                </c:pt>
                <c:pt idx="35">
                  <c:v>17.887369791666668</c:v>
                </c:pt>
                <c:pt idx="36">
                  <c:v>20.442708333333332</c:v>
                </c:pt>
                <c:pt idx="37">
                  <c:v>22.998046875</c:v>
                </c:pt>
                <c:pt idx="38">
                  <c:v>20.442708333333332</c:v>
                </c:pt>
                <c:pt idx="39">
                  <c:v>17.887369791666668</c:v>
                </c:pt>
                <c:pt idx="40">
                  <c:v>22.998046875000153</c:v>
                </c:pt>
                <c:pt idx="41">
                  <c:v>25.553385416666668</c:v>
                </c:pt>
                <c:pt idx="42">
                  <c:v>17.887369791666668</c:v>
                </c:pt>
                <c:pt idx="43">
                  <c:v>25.553385416666668</c:v>
                </c:pt>
                <c:pt idx="44">
                  <c:v>22.998046875</c:v>
                </c:pt>
                <c:pt idx="45">
                  <c:v>22.998046875</c:v>
                </c:pt>
                <c:pt idx="46">
                  <c:v>17.887369791666668</c:v>
                </c:pt>
                <c:pt idx="47">
                  <c:v>17.887369791666668</c:v>
                </c:pt>
                <c:pt idx="48">
                  <c:v>20.442708333333332</c:v>
                </c:pt>
                <c:pt idx="49">
                  <c:v>20.442708333333332</c:v>
                </c:pt>
                <c:pt idx="50">
                  <c:v>20.442708333333332</c:v>
                </c:pt>
                <c:pt idx="51">
                  <c:v>20.442708333333332</c:v>
                </c:pt>
                <c:pt idx="52">
                  <c:v>17.887369791666668</c:v>
                </c:pt>
                <c:pt idx="53">
                  <c:v>17.887369791666668</c:v>
                </c:pt>
                <c:pt idx="54">
                  <c:v>28.108723958333332</c:v>
                </c:pt>
                <c:pt idx="55">
                  <c:v>25.553385416666668</c:v>
                </c:pt>
                <c:pt idx="56">
                  <c:v>22.998046875</c:v>
                </c:pt>
                <c:pt idx="57">
                  <c:v>20.442708333333332</c:v>
                </c:pt>
                <c:pt idx="58">
                  <c:v>22.998046875</c:v>
                </c:pt>
                <c:pt idx="59">
                  <c:v>20.442708333333332</c:v>
                </c:pt>
                <c:pt idx="60">
                  <c:v>17.887369791666668</c:v>
                </c:pt>
                <c:pt idx="61">
                  <c:v>17.887369791666668</c:v>
                </c:pt>
                <c:pt idx="62">
                  <c:v>22.998046875</c:v>
                </c:pt>
                <c:pt idx="63">
                  <c:v>17.887369791666668</c:v>
                </c:pt>
                <c:pt idx="64">
                  <c:v>17.887369791666668</c:v>
                </c:pt>
                <c:pt idx="65">
                  <c:v>15.33203125</c:v>
                </c:pt>
                <c:pt idx="66">
                  <c:v>20.442708333333332</c:v>
                </c:pt>
                <c:pt idx="67">
                  <c:v>20.442708333333332</c:v>
                </c:pt>
                <c:pt idx="68">
                  <c:v>15.33203125</c:v>
                </c:pt>
                <c:pt idx="69">
                  <c:v>17.887369791666668</c:v>
                </c:pt>
                <c:pt idx="70">
                  <c:v>20.442708333333332</c:v>
                </c:pt>
                <c:pt idx="71">
                  <c:v>17.887369791666668</c:v>
                </c:pt>
                <c:pt idx="72">
                  <c:v>15.33203125</c:v>
                </c:pt>
                <c:pt idx="73">
                  <c:v>17.887369791666668</c:v>
                </c:pt>
                <c:pt idx="74">
                  <c:v>17.887369791666668</c:v>
                </c:pt>
                <c:pt idx="75">
                  <c:v>20.442708333333332</c:v>
                </c:pt>
                <c:pt idx="76">
                  <c:v>12.776692708333334</c:v>
                </c:pt>
                <c:pt idx="77">
                  <c:v>25.553385416666668</c:v>
                </c:pt>
                <c:pt idx="78">
                  <c:v>20.442708333333332</c:v>
                </c:pt>
                <c:pt idx="79">
                  <c:v>17.887369791666668</c:v>
                </c:pt>
                <c:pt idx="80">
                  <c:v>15.33203125</c:v>
                </c:pt>
                <c:pt idx="82">
                  <c:v>15.33203125</c:v>
                </c:pt>
                <c:pt idx="83">
                  <c:v>17.887369791666668</c:v>
                </c:pt>
                <c:pt idx="84">
                  <c:v>15.33203125</c:v>
                </c:pt>
                <c:pt idx="85">
                  <c:v>17.887369791666668</c:v>
                </c:pt>
                <c:pt idx="87">
                  <c:v>17.887369791666668</c:v>
                </c:pt>
                <c:pt idx="88">
                  <c:v>20.442708333333332</c:v>
                </c:pt>
                <c:pt idx="89">
                  <c:v>20.442708333333332</c:v>
                </c:pt>
                <c:pt idx="90">
                  <c:v>20.442708333333332</c:v>
                </c:pt>
                <c:pt idx="91">
                  <c:v>20.442708333333332</c:v>
                </c:pt>
                <c:pt idx="92">
                  <c:v>17.887369791666668</c:v>
                </c:pt>
                <c:pt idx="93">
                  <c:v>12.776692708333334</c:v>
                </c:pt>
                <c:pt idx="94">
                  <c:v>22.998046875</c:v>
                </c:pt>
                <c:pt idx="95">
                  <c:v>22.998046875</c:v>
                </c:pt>
                <c:pt idx="96">
                  <c:v>20.442708333333332</c:v>
                </c:pt>
                <c:pt idx="97">
                  <c:v>22.998046875</c:v>
                </c:pt>
                <c:pt idx="98">
                  <c:v>22.998046875</c:v>
                </c:pt>
                <c:pt idx="99">
                  <c:v>25.553385416666668</c:v>
                </c:pt>
                <c:pt idx="100">
                  <c:v>10.221354166666666</c:v>
                </c:pt>
                <c:pt idx="101">
                  <c:v>15.33203125</c:v>
                </c:pt>
                <c:pt idx="102">
                  <c:v>22.998046875</c:v>
                </c:pt>
                <c:pt idx="103">
                  <c:v>22.998046875</c:v>
                </c:pt>
                <c:pt idx="104">
                  <c:v>25.553385416666668</c:v>
                </c:pt>
                <c:pt idx="105">
                  <c:v>17.887369791666668</c:v>
                </c:pt>
                <c:pt idx="106">
                  <c:v>7.666015625</c:v>
                </c:pt>
                <c:pt idx="107">
                  <c:v>17.887369791666668</c:v>
                </c:pt>
                <c:pt idx="108">
                  <c:v>17.887369791666668</c:v>
                </c:pt>
                <c:pt idx="109">
                  <c:v>25.553385416666668</c:v>
                </c:pt>
                <c:pt idx="110">
                  <c:v>22.998046875</c:v>
                </c:pt>
                <c:pt idx="111">
                  <c:v>15.33203125</c:v>
                </c:pt>
                <c:pt idx="112">
                  <c:v>17.887369791666668</c:v>
                </c:pt>
                <c:pt idx="113">
                  <c:v>25.553385416666668</c:v>
                </c:pt>
                <c:pt idx="114">
                  <c:v>22.998046875</c:v>
                </c:pt>
                <c:pt idx="115">
                  <c:v>17.887369791666668</c:v>
                </c:pt>
                <c:pt idx="116">
                  <c:v>17.887369791666668</c:v>
                </c:pt>
                <c:pt idx="117">
                  <c:v>22.998046875</c:v>
                </c:pt>
                <c:pt idx="118">
                  <c:v>22.998046875</c:v>
                </c:pt>
                <c:pt idx="119">
                  <c:v>22.998046875</c:v>
                </c:pt>
                <c:pt idx="120">
                  <c:v>22.998046875</c:v>
                </c:pt>
                <c:pt idx="121">
                  <c:v>17.887369791666668</c:v>
                </c:pt>
                <c:pt idx="122">
                  <c:v>30.6640625</c:v>
                </c:pt>
                <c:pt idx="123">
                  <c:v>28.108723958333332</c:v>
                </c:pt>
                <c:pt idx="124">
                  <c:v>28.108723958333332</c:v>
                </c:pt>
                <c:pt idx="125">
                  <c:v>20.442708333333332</c:v>
                </c:pt>
                <c:pt idx="126">
                  <c:v>20.442708333333332</c:v>
                </c:pt>
                <c:pt idx="127">
                  <c:v>22.998046875</c:v>
                </c:pt>
                <c:pt idx="128">
                  <c:v>20.442708333333332</c:v>
                </c:pt>
                <c:pt idx="129">
                  <c:v>22.998046875</c:v>
                </c:pt>
                <c:pt idx="130">
                  <c:v>25.553385416666668</c:v>
                </c:pt>
                <c:pt idx="131">
                  <c:v>22.998046875</c:v>
                </c:pt>
                <c:pt idx="132">
                  <c:v>20.442708333333332</c:v>
                </c:pt>
                <c:pt idx="133">
                  <c:v>20.442708333333332</c:v>
                </c:pt>
                <c:pt idx="134">
                  <c:v>22.998046875</c:v>
                </c:pt>
                <c:pt idx="135">
                  <c:v>20.442708333333332</c:v>
                </c:pt>
                <c:pt idx="136">
                  <c:v>17.887369791666668</c:v>
                </c:pt>
                <c:pt idx="137">
                  <c:v>17.887369791666668</c:v>
                </c:pt>
                <c:pt idx="138">
                  <c:v>17.887369791666668</c:v>
                </c:pt>
                <c:pt idx="139">
                  <c:v>17.887369791666668</c:v>
                </c:pt>
                <c:pt idx="140">
                  <c:v>15.33203125</c:v>
                </c:pt>
                <c:pt idx="141">
                  <c:v>26.831054687500025</c:v>
                </c:pt>
                <c:pt idx="142">
                  <c:v>17.887369791666668</c:v>
                </c:pt>
                <c:pt idx="143">
                  <c:v>17.887369791666668</c:v>
                </c:pt>
                <c:pt idx="144">
                  <c:v>17.887369791666668</c:v>
                </c:pt>
                <c:pt idx="145">
                  <c:v>22.998046875</c:v>
                </c:pt>
                <c:pt idx="146">
                  <c:v>30.6640625</c:v>
                </c:pt>
                <c:pt idx="147">
                  <c:v>33.219401041666664</c:v>
                </c:pt>
                <c:pt idx="148">
                  <c:v>28.108723958333332</c:v>
                </c:pt>
                <c:pt idx="149">
                  <c:v>28.108723958333332</c:v>
                </c:pt>
                <c:pt idx="150">
                  <c:v>33.219401041666664</c:v>
                </c:pt>
                <c:pt idx="151">
                  <c:v>25.553385416666668</c:v>
                </c:pt>
                <c:pt idx="152">
                  <c:v>28.108723958333332</c:v>
                </c:pt>
                <c:pt idx="153">
                  <c:v>28.108723958333332</c:v>
                </c:pt>
                <c:pt idx="154">
                  <c:v>28.108723958333332</c:v>
                </c:pt>
                <c:pt idx="155">
                  <c:v>22.998046875</c:v>
                </c:pt>
                <c:pt idx="156">
                  <c:v>22.998046875</c:v>
                </c:pt>
                <c:pt idx="157">
                  <c:v>17.887369791666668</c:v>
                </c:pt>
                <c:pt idx="158">
                  <c:v>25.553385416666668</c:v>
                </c:pt>
                <c:pt idx="159">
                  <c:v>25.553385416666668</c:v>
                </c:pt>
                <c:pt idx="160">
                  <c:v>25.553385416666668</c:v>
                </c:pt>
                <c:pt idx="161">
                  <c:v>22.998046875</c:v>
                </c:pt>
                <c:pt idx="162">
                  <c:v>25.553385416666668</c:v>
                </c:pt>
                <c:pt idx="163">
                  <c:v>25.553385416666668</c:v>
                </c:pt>
                <c:pt idx="164">
                  <c:v>25.553385416666668</c:v>
                </c:pt>
                <c:pt idx="165">
                  <c:v>25.553385416666668</c:v>
                </c:pt>
                <c:pt idx="166">
                  <c:v>22.998046875</c:v>
                </c:pt>
                <c:pt idx="167">
                  <c:v>17.887369791666668</c:v>
                </c:pt>
                <c:pt idx="168">
                  <c:v>12.776692708333334</c:v>
                </c:pt>
                <c:pt idx="169">
                  <c:v>15.33203125</c:v>
                </c:pt>
                <c:pt idx="170">
                  <c:v>15.33203125</c:v>
                </c:pt>
                <c:pt idx="171">
                  <c:v>17.887369791666668</c:v>
                </c:pt>
              </c:numCache>
            </c:numRef>
          </c:yVal>
          <c:smooth val="1"/>
        </c:ser>
        <c:ser>
          <c:idx val="3"/>
          <c:order val="1"/>
          <c:tx>
            <c:v>ilość gazu - enzymy 20% [l/h]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DANE!$CD$580:$CD$627</c:f>
              <c:numCache>
                <c:formatCode>#,##0</c:formatCode>
                <c:ptCount val="48"/>
                <c:pt idx="0">
                  <c:v>17.887369791666668</c:v>
                </c:pt>
                <c:pt idx="1">
                  <c:v>20.442708333333332</c:v>
                </c:pt>
                <c:pt idx="2">
                  <c:v>20.442708333333332</c:v>
                </c:pt>
                <c:pt idx="3">
                  <c:v>15.33203125</c:v>
                </c:pt>
                <c:pt idx="4">
                  <c:v>22.998046875</c:v>
                </c:pt>
                <c:pt idx="5">
                  <c:v>28.108723958333332</c:v>
                </c:pt>
                <c:pt idx="6">
                  <c:v>22.998046875</c:v>
                </c:pt>
                <c:pt idx="7">
                  <c:v>15.33203125</c:v>
                </c:pt>
                <c:pt idx="8">
                  <c:v>20.442708333333332</c:v>
                </c:pt>
                <c:pt idx="9">
                  <c:v>22.998046875</c:v>
                </c:pt>
                <c:pt idx="10">
                  <c:v>25.553385416666668</c:v>
                </c:pt>
                <c:pt idx="11">
                  <c:v>17.248535156249993</c:v>
                </c:pt>
                <c:pt idx="12">
                  <c:v>22.998046875</c:v>
                </c:pt>
                <c:pt idx="13">
                  <c:v>25.553385416666668</c:v>
                </c:pt>
                <c:pt idx="14">
                  <c:v>22.998046875</c:v>
                </c:pt>
                <c:pt idx="15">
                  <c:v>25.553385416666668</c:v>
                </c:pt>
                <c:pt idx="16">
                  <c:v>25.553385416666668</c:v>
                </c:pt>
                <c:pt idx="17">
                  <c:v>25.553385416666668</c:v>
                </c:pt>
                <c:pt idx="18">
                  <c:v>28.108723958333332</c:v>
                </c:pt>
                <c:pt idx="19">
                  <c:v>22.998046875</c:v>
                </c:pt>
                <c:pt idx="20">
                  <c:v>25.553385416666668</c:v>
                </c:pt>
                <c:pt idx="21">
                  <c:v>30.6640625</c:v>
                </c:pt>
                <c:pt idx="22">
                  <c:v>25.553385416666668</c:v>
                </c:pt>
                <c:pt idx="23">
                  <c:v>40.885416666666664</c:v>
                </c:pt>
                <c:pt idx="24">
                  <c:v>35.774739583333336</c:v>
                </c:pt>
                <c:pt idx="25">
                  <c:v>38.330078125</c:v>
                </c:pt>
                <c:pt idx="26">
                  <c:v>38.330078125</c:v>
                </c:pt>
                <c:pt idx="27">
                  <c:v>22.998046875</c:v>
                </c:pt>
                <c:pt idx="28">
                  <c:v>25.553385416666668</c:v>
                </c:pt>
                <c:pt idx="29">
                  <c:v>25.553385416666668</c:v>
                </c:pt>
                <c:pt idx="30">
                  <c:v>28.108723958333332</c:v>
                </c:pt>
                <c:pt idx="31">
                  <c:v>28.108723958333332</c:v>
                </c:pt>
                <c:pt idx="32">
                  <c:v>20.442708333333332</c:v>
                </c:pt>
                <c:pt idx="33">
                  <c:v>28.108723958333332</c:v>
                </c:pt>
                <c:pt idx="34">
                  <c:v>22.998046875</c:v>
                </c:pt>
                <c:pt idx="35">
                  <c:v>25.553385416666668</c:v>
                </c:pt>
                <c:pt idx="36">
                  <c:v>25.553385416666668</c:v>
                </c:pt>
                <c:pt idx="37">
                  <c:v>25.553385416666668</c:v>
                </c:pt>
                <c:pt idx="38">
                  <c:v>30.6640625</c:v>
                </c:pt>
                <c:pt idx="39">
                  <c:v>25.553385416666668</c:v>
                </c:pt>
                <c:pt idx="40">
                  <c:v>22.998046875</c:v>
                </c:pt>
                <c:pt idx="41">
                  <c:v>17.887369791666668</c:v>
                </c:pt>
                <c:pt idx="42">
                  <c:v>30.6640625</c:v>
                </c:pt>
                <c:pt idx="43">
                  <c:v>17.887369791666668</c:v>
                </c:pt>
                <c:pt idx="44">
                  <c:v>7.666015625</c:v>
                </c:pt>
                <c:pt idx="45">
                  <c:v>5.110677083333333</c:v>
                </c:pt>
                <c:pt idx="46">
                  <c:v>12.776692708333334</c:v>
                </c:pt>
                <c:pt idx="47">
                  <c:v>22.998046875</c:v>
                </c:pt>
              </c:numCache>
            </c:numRef>
          </c:yVal>
          <c:smooth val="1"/>
        </c:ser>
        <c:ser>
          <c:idx val="4"/>
          <c:order val="2"/>
          <c:tx>
            <c:v>ilość gazu [l/h] bez enzymów II</c:v>
          </c:tx>
          <c:spPr>
            <a:ln w="2222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DANE!$CD$628:$CD$714</c:f>
              <c:numCache>
                <c:formatCode>#,##0</c:formatCode>
                <c:ptCount val="87"/>
                <c:pt idx="0">
                  <c:v>25.553385416666668</c:v>
                </c:pt>
                <c:pt idx="1">
                  <c:v>22.998046875</c:v>
                </c:pt>
                <c:pt idx="2">
                  <c:v>17.887369791666668</c:v>
                </c:pt>
                <c:pt idx="3">
                  <c:v>7.666015625</c:v>
                </c:pt>
                <c:pt idx="4">
                  <c:v>5.110677083333333</c:v>
                </c:pt>
                <c:pt idx="5">
                  <c:v>5.110677083333333</c:v>
                </c:pt>
                <c:pt idx="6">
                  <c:v>2.5553385416666665</c:v>
                </c:pt>
                <c:pt idx="7">
                  <c:v>2.5553385416666665</c:v>
                </c:pt>
                <c:pt idx="8">
                  <c:v>2.5553385416666665</c:v>
                </c:pt>
                <c:pt idx="9">
                  <c:v>2.5553385416666665</c:v>
                </c:pt>
                <c:pt idx="10">
                  <c:v>2.5553385416666665</c:v>
                </c:pt>
                <c:pt idx="11">
                  <c:v>2.5553385416666665</c:v>
                </c:pt>
                <c:pt idx="12">
                  <c:v>0</c:v>
                </c:pt>
                <c:pt idx="13">
                  <c:v>2.5553385416666665</c:v>
                </c:pt>
                <c:pt idx="14">
                  <c:v>2.5553385416666665</c:v>
                </c:pt>
                <c:pt idx="15">
                  <c:v>0</c:v>
                </c:pt>
                <c:pt idx="16">
                  <c:v>2.5553385416666665</c:v>
                </c:pt>
                <c:pt idx="17">
                  <c:v>2.5553385416666665</c:v>
                </c:pt>
                <c:pt idx="18">
                  <c:v>0</c:v>
                </c:pt>
                <c:pt idx="19">
                  <c:v>0</c:v>
                </c:pt>
                <c:pt idx="20">
                  <c:v>2.5553385416666665</c:v>
                </c:pt>
                <c:pt idx="21">
                  <c:v>2.5553385416666665</c:v>
                </c:pt>
                <c:pt idx="22">
                  <c:v>0</c:v>
                </c:pt>
                <c:pt idx="23">
                  <c:v>2.5553385416666665</c:v>
                </c:pt>
                <c:pt idx="24">
                  <c:v>0</c:v>
                </c:pt>
                <c:pt idx="25">
                  <c:v>2.5553385416666665</c:v>
                </c:pt>
                <c:pt idx="26">
                  <c:v>0</c:v>
                </c:pt>
                <c:pt idx="27">
                  <c:v>2.5553385416666665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2.5553385416666665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2.5553385416666665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2.5553385416666665</c:v>
                </c:pt>
                <c:pt idx="46">
                  <c:v>2.5553385416666665</c:v>
                </c:pt>
                <c:pt idx="47">
                  <c:v>5.110677083333333</c:v>
                </c:pt>
                <c:pt idx="48">
                  <c:v>12.776692708333334</c:v>
                </c:pt>
                <c:pt idx="49">
                  <c:v>15.33203125</c:v>
                </c:pt>
                <c:pt idx="50">
                  <c:v>22.998046875</c:v>
                </c:pt>
                <c:pt idx="51">
                  <c:v>28.108723958333332</c:v>
                </c:pt>
                <c:pt idx="52">
                  <c:v>25.553385416666668</c:v>
                </c:pt>
                <c:pt idx="53">
                  <c:v>20.442708333333332</c:v>
                </c:pt>
                <c:pt idx="54">
                  <c:v>20.442708333333332</c:v>
                </c:pt>
                <c:pt idx="55">
                  <c:v>15.33203125</c:v>
                </c:pt>
                <c:pt idx="56">
                  <c:v>10.221354166666666</c:v>
                </c:pt>
                <c:pt idx="57">
                  <c:v>15.33203125</c:v>
                </c:pt>
                <c:pt idx="58">
                  <c:v>15.33203125</c:v>
                </c:pt>
                <c:pt idx="59">
                  <c:v>15.33203125</c:v>
                </c:pt>
                <c:pt idx="60">
                  <c:v>12.776692708333334</c:v>
                </c:pt>
                <c:pt idx="61">
                  <c:v>15.33203125</c:v>
                </c:pt>
                <c:pt idx="62">
                  <c:v>15.33203125</c:v>
                </c:pt>
                <c:pt idx="63">
                  <c:v>17.887369791666668</c:v>
                </c:pt>
                <c:pt idx="64">
                  <c:v>15.33203125</c:v>
                </c:pt>
                <c:pt idx="65">
                  <c:v>12.776692708333334</c:v>
                </c:pt>
                <c:pt idx="66">
                  <c:v>20.442708333333332</c:v>
                </c:pt>
                <c:pt idx="67">
                  <c:v>10.221354166666666</c:v>
                </c:pt>
                <c:pt idx="68">
                  <c:v>2.5553385416666665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20.442708333333332</c:v>
                </c:pt>
                <c:pt idx="76">
                  <c:v>20.442708333333332</c:v>
                </c:pt>
                <c:pt idx="77">
                  <c:v>20.442708333333332</c:v>
                </c:pt>
                <c:pt idx="78">
                  <c:v>12.776692708333334</c:v>
                </c:pt>
                <c:pt idx="79">
                  <c:v>12.776692708333334</c:v>
                </c:pt>
                <c:pt idx="80">
                  <c:v>12.776692708333334</c:v>
                </c:pt>
                <c:pt idx="81">
                  <c:v>10.221354166666666</c:v>
                </c:pt>
                <c:pt idx="82">
                  <c:v>10.221354166666666</c:v>
                </c:pt>
                <c:pt idx="83">
                  <c:v>10.221354166666666</c:v>
                </c:pt>
                <c:pt idx="84">
                  <c:v>7.666015625</c:v>
                </c:pt>
                <c:pt idx="85">
                  <c:v>10.221354166666666</c:v>
                </c:pt>
                <c:pt idx="86">
                  <c:v>10.221354166666666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4848"/>
        <c:axId val="76657728"/>
      </c:scatterChart>
      <c:valAx>
        <c:axId val="76654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657728"/>
        <c:crosses val="autoZero"/>
        <c:crossBetween val="midCat"/>
        <c:majorUnit val="15"/>
      </c:valAx>
      <c:valAx>
        <c:axId val="766577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 ILOŚĆ WYPRODUKOWANEGO BIOGAZU  [l/h]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6548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979414689204803E-2"/>
          <c:y val="0.94716309286404476"/>
          <c:w val="0.94467008921735351"/>
          <c:h val="5.2836867178436553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PRODUKCJA BIOGAZU - WKFMEZO-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486307812207124E-2"/>
          <c:y val="7.120462161550957E-2"/>
          <c:w val="0.81167778673113078"/>
          <c:h val="0.69063020908287265"/>
        </c:manualLayout>
      </c:layout>
      <c:scatterChart>
        <c:scatterStyle val="smoothMarker"/>
        <c:varyColors val="0"/>
        <c:ser>
          <c:idx val="0"/>
          <c:order val="0"/>
          <c:tx>
            <c:v>q1 [l/kg smo wpr] bez enzymów I</c:v>
          </c:tx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DANE!$AT$408:$AT$579</c:f>
              <c:numCache>
                <c:formatCode>#,##0</c:formatCode>
                <c:ptCount val="172"/>
                <c:pt idx="0">
                  <c:v>519.05005570742401</c:v>
                </c:pt>
                <c:pt idx="1">
                  <c:v>619.71617000508081</c:v>
                </c:pt>
                <c:pt idx="2">
                  <c:v>619.71617000508081</c:v>
                </c:pt>
                <c:pt idx="3">
                  <c:v>608.64980982641862</c:v>
                </c:pt>
                <c:pt idx="4">
                  <c:v>629.443939986695</c:v>
                </c:pt>
                <c:pt idx="5">
                  <c:v>676.94914300455878</c:v>
                </c:pt>
                <c:pt idx="6">
                  <c:v>684.9813405827208</c:v>
                </c:pt>
                <c:pt idx="7">
                  <c:v>660.07292819789643</c:v>
                </c:pt>
                <c:pt idx="8">
                  <c:v>462.3938664739274</c:v>
                </c:pt>
                <c:pt idx="9">
                  <c:v>333.95112578671922</c:v>
                </c:pt>
                <c:pt idx="11">
                  <c:v>29.358340728502981</c:v>
                </c:pt>
                <c:pt idx="12">
                  <c:v>324.48692384134898</c:v>
                </c:pt>
                <c:pt idx="13">
                  <c:v>426.82510751438986</c:v>
                </c:pt>
                <c:pt idx="14">
                  <c:v>417.99038175063833</c:v>
                </c:pt>
                <c:pt idx="15">
                  <c:v>422.12305501653441</c:v>
                </c:pt>
                <c:pt idx="16">
                  <c:v>478.94731242260605</c:v>
                </c:pt>
                <c:pt idx="17">
                  <c:v>450.77394110362968</c:v>
                </c:pt>
                <c:pt idx="18">
                  <c:v>403.3240525664055</c:v>
                </c:pt>
                <c:pt idx="19">
                  <c:v>436.93439028027223</c:v>
                </c:pt>
                <c:pt idx="20">
                  <c:v>321.21087402968931</c:v>
                </c:pt>
                <c:pt idx="21">
                  <c:v>321.21087402968982</c:v>
                </c:pt>
                <c:pt idx="22">
                  <c:v>257.73209013757059</c:v>
                </c:pt>
                <c:pt idx="23">
                  <c:v>262.41812814007244</c:v>
                </c:pt>
                <c:pt idx="24">
                  <c:v>337.39473618009328</c:v>
                </c:pt>
                <c:pt idx="25">
                  <c:v>405.00757021618244</c:v>
                </c:pt>
                <c:pt idx="26">
                  <c:v>412.37134422011297</c:v>
                </c:pt>
                <c:pt idx="27">
                  <c:v>487.347952260135</c:v>
                </c:pt>
                <c:pt idx="28">
                  <c:v>521.62553641613567</c:v>
                </c:pt>
                <c:pt idx="29">
                  <c:v>519.28527729820996</c:v>
                </c:pt>
                <c:pt idx="30">
                  <c:v>546.78437449503576</c:v>
                </c:pt>
                <c:pt idx="31">
                  <c:v>528.55822867853499</c:v>
                </c:pt>
                <c:pt idx="32">
                  <c:v>615.04957518956701</c:v>
                </c:pt>
                <c:pt idx="33">
                  <c:v>556.37708281951018</c:v>
                </c:pt>
                <c:pt idx="34">
                  <c:v>430.67707521954742</c:v>
                </c:pt>
                <c:pt idx="35">
                  <c:v>485.7955411652128</c:v>
                </c:pt>
                <c:pt idx="36">
                  <c:v>579.28377781845961</c:v>
                </c:pt>
                <c:pt idx="37">
                  <c:v>540.66485929722944</c:v>
                </c:pt>
                <c:pt idx="38">
                  <c:v>651.60647977640008</c:v>
                </c:pt>
                <c:pt idx="39">
                  <c:v>447.9794548462749</c:v>
                </c:pt>
                <c:pt idx="40">
                  <c:v>519.97615294657066</c:v>
                </c:pt>
                <c:pt idx="41">
                  <c:v>793.70731379891629</c:v>
                </c:pt>
                <c:pt idx="42">
                  <c:v>567.4162924179476</c:v>
                </c:pt>
                <c:pt idx="43">
                  <c:v>513.55073800620573</c:v>
                </c:pt>
                <c:pt idx="44">
                  <c:v>560.2371687340426</c:v>
                </c:pt>
                <c:pt idx="45">
                  <c:v>589.5352859765112</c:v>
                </c:pt>
                <c:pt idx="46">
                  <c:v>628.83763837494485</c:v>
                </c:pt>
                <c:pt idx="47">
                  <c:v>520.22022811018292</c:v>
                </c:pt>
                <c:pt idx="48">
                  <c:v>512.37526154618877</c:v>
                </c:pt>
                <c:pt idx="49">
                  <c:v>682.21153705170639</c:v>
                </c:pt>
                <c:pt idx="50">
                  <c:v>675.50235094642858</c:v>
                </c:pt>
                <c:pt idx="51">
                  <c:v>671.75372524750583</c:v>
                </c:pt>
                <c:pt idx="52">
                  <c:v>931.47246204377518</c:v>
                </c:pt>
                <c:pt idx="53">
                  <c:v>566.41052742460272</c:v>
                </c:pt>
                <c:pt idx="54">
                  <c:v>624.61311294943039</c:v>
                </c:pt>
                <c:pt idx="55">
                  <c:v>635.11298466493633</c:v>
                </c:pt>
                <c:pt idx="56">
                  <c:v>555.72386158181507</c:v>
                </c:pt>
                <c:pt idx="57">
                  <c:v>664.60451611203121</c:v>
                </c:pt>
                <c:pt idx="58">
                  <c:v>688.77195306155465</c:v>
                </c:pt>
                <c:pt idx="59">
                  <c:v>577.72810877711981</c:v>
                </c:pt>
                <c:pt idx="60">
                  <c:v>547.32136620990764</c:v>
                </c:pt>
                <c:pt idx="61">
                  <c:v>596.88745932330198</c:v>
                </c:pt>
                <c:pt idx="62">
                  <c:v>627.85133248814202</c:v>
                </c:pt>
                <c:pt idx="63">
                  <c:v>555.15275714740801</c:v>
                </c:pt>
                <c:pt idx="64">
                  <c:v>515.49898877973874</c:v>
                </c:pt>
                <c:pt idx="65">
                  <c:v>534.24440655354738</c:v>
                </c:pt>
                <c:pt idx="66">
                  <c:v>575.34013013458639</c:v>
                </c:pt>
                <c:pt idx="67">
                  <c:v>616.4358537156304</c:v>
                </c:pt>
                <c:pt idx="68">
                  <c:v>706.33274904915982</c:v>
                </c:pt>
                <c:pt idx="69">
                  <c:v>443.98058511661674</c:v>
                </c:pt>
                <c:pt idx="70">
                  <c:v>538.15828498983603</c:v>
                </c:pt>
                <c:pt idx="71">
                  <c:v>597.05107844155191</c:v>
                </c:pt>
                <c:pt idx="72">
                  <c:v>475.84522041206469</c:v>
                </c:pt>
                <c:pt idx="73">
                  <c:v>459.71487395741843</c:v>
                </c:pt>
                <c:pt idx="74">
                  <c:v>534.24440655354738</c:v>
                </c:pt>
                <c:pt idx="75">
                  <c:v>667.80550819193422</c:v>
                </c:pt>
                <c:pt idx="76">
                  <c:v>602.73727918861823</c:v>
                </c:pt>
                <c:pt idx="77">
                  <c:v>432.81666324714246</c:v>
                </c:pt>
                <c:pt idx="78">
                  <c:v>429.15093292857512</c:v>
                </c:pt>
                <c:pt idx="79">
                  <c:v>655.43051574545495</c:v>
                </c:pt>
                <c:pt idx="80">
                  <c:v>724.54053611317704</c:v>
                </c:pt>
                <c:pt idx="81">
                  <c:v>0</c:v>
                </c:pt>
                <c:pt idx="82">
                  <c:v>418.00415544990904</c:v>
                </c:pt>
                <c:pt idx="83">
                  <c:v>443.94924096059316</c:v>
                </c:pt>
                <c:pt idx="84">
                  <c:v>459.8045709948999</c:v>
                </c:pt>
                <c:pt idx="85">
                  <c:v>537.18102842793405</c:v>
                </c:pt>
                <c:pt idx="86">
                  <c:v>444.08129594792518</c:v>
                </c:pt>
                <c:pt idx="87">
                  <c:v>488.48942554271781</c:v>
                </c:pt>
                <c:pt idx="88">
                  <c:v>632.81584672579368</c:v>
                </c:pt>
                <c:pt idx="89">
                  <c:v>598.29861872256811</c:v>
                </c:pt>
                <c:pt idx="90">
                  <c:v>687.46478938969449</c:v>
                </c:pt>
                <c:pt idx="91">
                  <c:v>687.46478938969528</c:v>
                </c:pt>
                <c:pt idx="92">
                  <c:v>947.01782211845705</c:v>
                </c:pt>
                <c:pt idx="93">
                  <c:v>723.1772459813667</c:v>
                </c:pt>
                <c:pt idx="94">
                  <c:v>1019.8653468967998</c:v>
                </c:pt>
                <c:pt idx="95">
                  <c:v>801.6615982584143</c:v>
                </c:pt>
                <c:pt idx="96">
                  <c:v>800.49808360201735</c:v>
                </c:pt>
                <c:pt idx="97">
                  <c:v>974.33824867922408</c:v>
                </c:pt>
                <c:pt idx="98">
                  <c:v>902.16504507335696</c:v>
                </c:pt>
                <c:pt idx="99">
                  <c:v>1404.1762246467597</c:v>
                </c:pt>
                <c:pt idx="100">
                  <c:v>1939.1005007026688</c:v>
                </c:pt>
                <c:pt idx="101">
                  <c:v>2262.2839174864466</c:v>
                </c:pt>
                <c:pt idx="102">
                  <c:v>2714.7407009837307</c:v>
                </c:pt>
                <c:pt idx="103">
                  <c:v>267.02367550659778</c:v>
                </c:pt>
                <c:pt idx="104">
                  <c:v>594.21455907909467</c:v>
                </c:pt>
                <c:pt idx="105">
                  <c:v>841.80395869538745</c:v>
                </c:pt>
                <c:pt idx="106">
                  <c:v>643.73243900235195</c:v>
                </c:pt>
                <c:pt idx="107">
                  <c:v>594.21455907909763</c:v>
                </c:pt>
                <c:pt idx="108">
                  <c:v>693.25031892561231</c:v>
                </c:pt>
                <c:pt idx="109">
                  <c:v>742.7681988488697</c:v>
                </c:pt>
                <c:pt idx="110">
                  <c:v>693.25031892560935</c:v>
                </c:pt>
                <c:pt idx="111">
                  <c:v>594.21455907909763</c:v>
                </c:pt>
                <c:pt idx="112">
                  <c:v>742.7681988488697</c:v>
                </c:pt>
                <c:pt idx="113">
                  <c:v>847.00047187189318</c:v>
                </c:pt>
                <c:pt idx="114">
                  <c:v>697.52980036509007</c:v>
                </c:pt>
                <c:pt idx="115">
                  <c:v>797.17691470296188</c:v>
                </c:pt>
                <c:pt idx="116">
                  <c:v>1195.7653720544367</c:v>
                </c:pt>
                <c:pt idx="117">
                  <c:v>554.21955408317012</c:v>
                </c:pt>
                <c:pt idx="118">
                  <c:v>626.79592426072816</c:v>
                </c:pt>
                <c:pt idx="119">
                  <c:v>791.74222011881307</c:v>
                </c:pt>
                <c:pt idx="120">
                  <c:v>807.09238543106483</c:v>
                </c:pt>
                <c:pt idx="121">
                  <c:v>664.88587061818487</c:v>
                </c:pt>
                <c:pt idx="122">
                  <c:v>1002.7786901126701</c:v>
                </c:pt>
                <c:pt idx="123">
                  <c:v>1092.3125017298755</c:v>
                </c:pt>
                <c:pt idx="124">
                  <c:v>997.32880592727884</c:v>
                </c:pt>
                <c:pt idx="125">
                  <c:v>997.32880592727304</c:v>
                </c:pt>
                <c:pt idx="126">
                  <c:v>949.83695802597765</c:v>
                </c:pt>
                <c:pt idx="127">
                  <c:v>864.31137882971518</c:v>
                </c:pt>
                <c:pt idx="128">
                  <c:v>773.33123368974111</c:v>
                </c:pt>
                <c:pt idx="129">
                  <c:v>759.91606390016409</c:v>
                </c:pt>
                <c:pt idx="130">
                  <c:v>804.61700883547007</c:v>
                </c:pt>
                <c:pt idx="131">
                  <c:v>759.91606390016409</c:v>
                </c:pt>
                <c:pt idx="132">
                  <c:v>670.51417402955747</c:v>
                </c:pt>
                <c:pt idx="133">
                  <c:v>670.51417402955747</c:v>
                </c:pt>
                <c:pt idx="134">
                  <c:v>758.79145573794779</c:v>
                </c:pt>
                <c:pt idx="135">
                  <c:v>624.88708119596106</c:v>
                </c:pt>
                <c:pt idx="136">
                  <c:v>580.25228968195654</c:v>
                </c:pt>
                <c:pt idx="137">
                  <c:v>624.88708119596106</c:v>
                </c:pt>
                <c:pt idx="138">
                  <c:v>669.52187270995489</c:v>
                </c:pt>
                <c:pt idx="139">
                  <c:v>580.252289681962</c:v>
                </c:pt>
                <c:pt idx="140">
                  <c:v>490.9827066539637</c:v>
                </c:pt>
                <c:pt idx="141">
                  <c:v>770.09870275623985</c:v>
                </c:pt>
                <c:pt idx="142">
                  <c:v>563.67465339820023</c:v>
                </c:pt>
                <c:pt idx="143">
                  <c:v>704.59331674775081</c:v>
                </c:pt>
                <c:pt idx="144">
                  <c:v>704.59331674775081</c:v>
                </c:pt>
                <c:pt idx="145">
                  <c:v>798.53909231411637</c:v>
                </c:pt>
                <c:pt idx="146">
                  <c:v>1080.376419013219</c:v>
                </c:pt>
                <c:pt idx="147">
                  <c:v>1127.3493067963989</c:v>
                </c:pt>
                <c:pt idx="148">
                  <c:v>1007.9237022797171</c:v>
                </c:pt>
                <c:pt idx="149">
                  <c:v>962.10898853973322</c:v>
                </c:pt>
                <c:pt idx="150">
                  <c:v>1007.9237022797171</c:v>
                </c:pt>
                <c:pt idx="151">
                  <c:v>870.47956105975993</c:v>
                </c:pt>
                <c:pt idx="152">
                  <c:v>962.10898853972765</c:v>
                </c:pt>
                <c:pt idx="153">
                  <c:v>962.10898853973322</c:v>
                </c:pt>
                <c:pt idx="154">
                  <c:v>1056.4333991808835</c:v>
                </c:pt>
                <c:pt idx="155">
                  <c:v>1494.2352219620341</c:v>
                </c:pt>
                <c:pt idx="156">
                  <c:v>2822.4443081505397</c:v>
                </c:pt>
                <c:pt idx="157">
                  <c:v>441.84374842963797</c:v>
                </c:pt>
                <c:pt idx="158">
                  <c:v>737.8939367713773</c:v>
                </c:pt>
                <c:pt idx="159">
                  <c:v>1277.1241213350786</c:v>
                </c:pt>
                <c:pt idx="160">
                  <c:v>934.25016363831026</c:v>
                </c:pt>
                <c:pt idx="161">
                  <c:v>649.91315731360362</c:v>
                </c:pt>
                <c:pt idx="162">
                  <c:v>833.69109542038575</c:v>
                </c:pt>
                <c:pt idx="163">
                  <c:v>893.24045937897893</c:v>
                </c:pt>
                <c:pt idx="164">
                  <c:v>926.32343935597839</c:v>
                </c:pt>
                <c:pt idx="165">
                  <c:v>972.63961132376835</c:v>
                </c:pt>
                <c:pt idx="166">
                  <c:v>769.56101115727665</c:v>
                </c:pt>
                <c:pt idx="167">
                  <c:v>603.70734495958379</c:v>
                </c:pt>
                <c:pt idx="168">
                  <c:v>605.09837570834065</c:v>
                </c:pt>
                <c:pt idx="169">
                  <c:v>580.60629859634275</c:v>
                </c:pt>
                <c:pt idx="170">
                  <c:v>696.63564920950034</c:v>
                </c:pt>
                <c:pt idx="171">
                  <c:v>789.52040243742704</c:v>
                </c:pt>
              </c:numCache>
            </c:numRef>
          </c:yVal>
          <c:smooth val="1"/>
        </c:ser>
        <c:ser>
          <c:idx val="1"/>
          <c:order val="1"/>
          <c:tx>
            <c:v>q2 [l/kg smo us] bez enzymów I</c:v>
          </c:tx>
          <c:spPr>
            <a:ln w="28575">
              <a:noFill/>
            </a:ln>
          </c:spP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DANE!$AU$408:$AU$579</c:f>
              <c:numCache>
                <c:formatCode>#,##0</c:formatCode>
                <c:ptCount val="172"/>
                <c:pt idx="1">
                  <c:v>1049.7976201577424</c:v>
                </c:pt>
                <c:pt idx="6">
                  <c:v>1170.5739835275594</c:v>
                </c:pt>
                <c:pt idx="8">
                  <c:v>1245.5369740098529</c:v>
                </c:pt>
                <c:pt idx="14">
                  <c:v>516.49975697340597</c:v>
                </c:pt>
                <c:pt idx="20">
                  <c:v>869.83943132411332</c:v>
                </c:pt>
                <c:pt idx="22">
                  <c:v>836.81582740246722</c:v>
                </c:pt>
                <c:pt idx="28">
                  <c:v>908.7690156104569</c:v>
                </c:pt>
                <c:pt idx="29">
                  <c:v>1063.0554210082234</c:v>
                </c:pt>
                <c:pt idx="35">
                  <c:v>1289.0407984559856</c:v>
                </c:pt>
                <c:pt idx="36">
                  <c:v>1327.2257483496608</c:v>
                </c:pt>
                <c:pt idx="41">
                  <c:v>1355.7947465818058</c:v>
                </c:pt>
                <c:pt idx="43">
                  <c:v>1286.8938087006002</c:v>
                </c:pt>
                <c:pt idx="48">
                  <c:v>1351.2216926105996</c:v>
                </c:pt>
                <c:pt idx="50">
                  <c:v>1470.6566460579152</c:v>
                </c:pt>
                <c:pt idx="55">
                  <c:v>1607.0391492836529</c:v>
                </c:pt>
                <c:pt idx="57">
                  <c:v>1481.0135185060251</c:v>
                </c:pt>
                <c:pt idx="62">
                  <c:v>1219.8920877624505</c:v>
                </c:pt>
                <c:pt idx="78">
                  <c:v>1002.8750784825705</c:v>
                </c:pt>
                <c:pt idx="85">
                  <c:v>-11654.862224647597</c:v>
                </c:pt>
                <c:pt idx="86">
                  <c:v>-10939.054909029257</c:v>
                </c:pt>
                <c:pt idx="90">
                  <c:v>1092.155395206466</c:v>
                </c:pt>
                <c:pt idx="97">
                  <c:v>1715.5733079679769</c:v>
                </c:pt>
                <c:pt idx="99">
                  <c:v>1719.6009099596383</c:v>
                </c:pt>
                <c:pt idx="104">
                  <c:v>1481.0047035469502</c:v>
                </c:pt>
                <c:pt idx="113">
                  <c:v>1312.4809981919457</c:v>
                </c:pt>
                <c:pt idx="117">
                  <c:v>1430.6655543529805</c:v>
                </c:pt>
                <c:pt idx="120">
                  <c:v>1349.4592491558017</c:v>
                </c:pt>
                <c:pt idx="121">
                  <c:v>1345.8487545646033</c:v>
                </c:pt>
                <c:pt idx="127">
                  <c:v>1731.2131112592965</c:v>
                </c:pt>
                <c:pt idx="129">
                  <c:v>1512.4300649410393</c:v>
                </c:pt>
                <c:pt idx="134">
                  <c:v>1289.5979794042523</c:v>
                </c:pt>
                <c:pt idx="141">
                  <c:v>1178.8081203584309</c:v>
                </c:pt>
                <c:pt idx="148">
                  <c:v>1512.2602125944245</c:v>
                </c:pt>
                <c:pt idx="155">
                  <c:v>1779.2208878714039</c:v>
                </c:pt>
                <c:pt idx="160">
                  <c:v>1683.7224606666541</c:v>
                </c:pt>
                <c:pt idx="162">
                  <c:v>1746.982890119391</c:v>
                </c:pt>
                <c:pt idx="170">
                  <c:v>1491.6524964096659</c:v>
                </c:pt>
              </c:numCache>
            </c:numRef>
          </c:yVal>
          <c:smooth val="1"/>
        </c:ser>
        <c:ser>
          <c:idx val="2"/>
          <c:order val="2"/>
          <c:tx>
            <c:v>q3 [l/kg sm] bez enzymów I</c:v>
          </c:tx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DANE!$AV$408:$AV$579</c:f>
              <c:numCache>
                <c:formatCode>0</c:formatCode>
                <c:ptCount val="172"/>
                <c:pt idx="0">
                  <c:v>380.97558157813609</c:v>
                </c:pt>
                <c:pt idx="1">
                  <c:v>479.1697069493452</c:v>
                </c:pt>
                <c:pt idx="2">
                  <c:v>462.05650312972585</c:v>
                </c:pt>
                <c:pt idx="3">
                  <c:v>462.05650312972585</c:v>
                </c:pt>
                <c:pt idx="4">
                  <c:v>469.60370554019443</c:v>
                </c:pt>
                <c:pt idx="5">
                  <c:v>486.37526645234425</c:v>
                </c:pt>
                <c:pt idx="6">
                  <c:v>522.82570782657331</c:v>
                </c:pt>
                <c:pt idx="7">
                  <c:v>503.81386390560851</c:v>
                </c:pt>
                <c:pt idx="8">
                  <c:v>351.78000573603458</c:v>
                </c:pt>
                <c:pt idx="9">
                  <c:v>254.06333747602025</c:v>
                </c:pt>
                <c:pt idx="11">
                  <c:v>22.335238459430499</c:v>
                </c:pt>
                <c:pt idx="12">
                  <c:v>246.86316192002147</c:v>
                </c:pt>
                <c:pt idx="13">
                  <c:v>324.7200052947976</c:v>
                </c:pt>
                <c:pt idx="14">
                  <c:v>318.89322204519698</c:v>
                </c:pt>
                <c:pt idx="15">
                  <c:v>322.04612113321451</c:v>
                </c:pt>
                <c:pt idx="16">
                  <c:v>365.39848359345461</c:v>
                </c:pt>
                <c:pt idx="17">
                  <c:v>343.90445514678117</c:v>
                </c:pt>
                <c:pt idx="18">
                  <c:v>307.70398618396217</c:v>
                </c:pt>
                <c:pt idx="19">
                  <c:v>333.34598503262532</c:v>
                </c:pt>
                <c:pt idx="20">
                  <c:v>244.42541459289205</c:v>
                </c:pt>
                <c:pt idx="21">
                  <c:v>244.42541459289245</c:v>
                </c:pt>
                <c:pt idx="22">
                  <c:v>194.44855272519149</c:v>
                </c:pt>
                <c:pt idx="23">
                  <c:v>197.98398095655904</c:v>
                </c:pt>
                <c:pt idx="24">
                  <c:v>254.55083265843317</c:v>
                </c:pt>
                <c:pt idx="25">
                  <c:v>305.56201142530097</c:v>
                </c:pt>
                <c:pt idx="26">
                  <c:v>311.11768436030644</c:v>
                </c:pt>
                <c:pt idx="27">
                  <c:v>367.68453606218145</c:v>
                </c:pt>
                <c:pt idx="28">
                  <c:v>394.60971829880663</c:v>
                </c:pt>
                <c:pt idx="29">
                  <c:v>393.80518289187046</c:v>
                </c:pt>
                <c:pt idx="30">
                  <c:v>414.65939824205537</c:v>
                </c:pt>
                <c:pt idx="31">
                  <c:v>400.83741830065378</c:v>
                </c:pt>
                <c:pt idx="32">
                  <c:v>466.42899584076002</c:v>
                </c:pt>
                <c:pt idx="33">
                  <c:v>421.93412452700369</c:v>
                </c:pt>
                <c:pt idx="34">
                  <c:v>326.60826676349598</c:v>
                </c:pt>
                <c:pt idx="35">
                  <c:v>368.78682712015967</c:v>
                </c:pt>
                <c:pt idx="36">
                  <c:v>438.56995534857759</c:v>
                </c:pt>
                <c:pt idx="37">
                  <c:v>409.33195832533943</c:v>
                </c:pt>
                <c:pt idx="38">
                  <c:v>493.32474977391468</c:v>
                </c:pt>
                <c:pt idx="39">
                  <c:v>339.16076546956623</c:v>
                </c:pt>
                <c:pt idx="40">
                  <c:v>393.66874563431912</c:v>
                </c:pt>
                <c:pt idx="41">
                  <c:v>602.71752287948289</c:v>
                </c:pt>
                <c:pt idx="42">
                  <c:v>430.87890997341674</c:v>
                </c:pt>
                <c:pt idx="43">
                  <c:v>389.30740796036429</c:v>
                </c:pt>
                <c:pt idx="44">
                  <c:v>424.69899050221568</c:v>
                </c:pt>
                <c:pt idx="45">
                  <c:v>446.90901424021382</c:v>
                </c:pt>
                <c:pt idx="46">
                  <c:v>476.70294852289436</c:v>
                </c:pt>
                <c:pt idx="47">
                  <c:v>394.36334832348638</c:v>
                </c:pt>
                <c:pt idx="48">
                  <c:v>389.99955407849717</c:v>
                </c:pt>
                <c:pt idx="49">
                  <c:v>519.27213354227695</c:v>
                </c:pt>
                <c:pt idx="50">
                  <c:v>513.39529676630468</c:v>
                </c:pt>
                <c:pt idx="51">
                  <c:v>510.54626626260932</c:v>
                </c:pt>
                <c:pt idx="52">
                  <c:v>707.93770060250995</c:v>
                </c:pt>
                <c:pt idx="53">
                  <c:v>430.48332905324651</c:v>
                </c:pt>
                <c:pt idx="54">
                  <c:v>474.71845810382615</c:v>
                </c:pt>
                <c:pt idx="55">
                  <c:v>485.25172480339796</c:v>
                </c:pt>
                <c:pt idx="56">
                  <c:v>424.59525920297006</c:v>
                </c:pt>
                <c:pt idx="57">
                  <c:v>512.76896836107653</c:v>
                </c:pt>
                <c:pt idx="58">
                  <c:v>531.41511266511191</c:v>
                </c:pt>
                <c:pt idx="59">
                  <c:v>445.74034504589901</c:v>
                </c:pt>
                <c:pt idx="60">
                  <c:v>422.28032688559222</c:v>
                </c:pt>
                <c:pt idx="61">
                  <c:v>460.52255036630038</c:v>
                </c:pt>
                <c:pt idx="62">
                  <c:v>484.8895840805921</c:v>
                </c:pt>
                <c:pt idx="63">
                  <c:v>428.74447434494317</c:v>
                </c:pt>
                <c:pt idx="64">
                  <c:v>398.11986903459217</c:v>
                </c:pt>
                <c:pt idx="65">
                  <c:v>412.59695518130457</c:v>
                </c:pt>
                <c:pt idx="66">
                  <c:v>444.33518250294105</c:v>
                </c:pt>
                <c:pt idx="67">
                  <c:v>476.07340982458135</c:v>
                </c:pt>
                <c:pt idx="68">
                  <c:v>545.50078209066601</c:v>
                </c:pt>
                <c:pt idx="69">
                  <c:v>342.88620588556307</c:v>
                </c:pt>
                <c:pt idx="70">
                  <c:v>415.61964349765037</c:v>
                </c:pt>
                <c:pt idx="71">
                  <c:v>461.10254788041055</c:v>
                </c:pt>
                <c:pt idx="72">
                  <c:v>367.49526372423753</c:v>
                </c:pt>
                <c:pt idx="73">
                  <c:v>355.03779715731423</c:v>
                </c:pt>
                <c:pt idx="74">
                  <c:v>412.59695518130457</c:v>
                </c:pt>
                <c:pt idx="75">
                  <c:v>515.74619397663082</c:v>
                </c:pt>
                <c:pt idx="76">
                  <c:v>465.49400071736983</c:v>
                </c:pt>
                <c:pt idx="77">
                  <c:v>334.26430902576811</c:v>
                </c:pt>
                <c:pt idx="78">
                  <c:v>331.73796266311786</c:v>
                </c:pt>
                <c:pt idx="79">
                  <c:v>506.65434297639422</c:v>
                </c:pt>
                <c:pt idx="80">
                  <c:v>560.07707982084696</c:v>
                </c:pt>
                <c:pt idx="81">
                  <c:v>0</c:v>
                </c:pt>
                <c:pt idx="82">
                  <c:v>323.1213922043342</c:v>
                </c:pt>
                <c:pt idx="83">
                  <c:v>343.1772027549481</c:v>
                </c:pt>
                <c:pt idx="84">
                  <c:v>355.43353142476764</c:v>
                </c:pt>
                <c:pt idx="85">
                  <c:v>416.65372107955847</c:v>
                </c:pt>
                <c:pt idx="86">
                  <c:v>347.12946741657413</c:v>
                </c:pt>
                <c:pt idx="87">
                  <c:v>381.84241415823163</c:v>
                </c:pt>
                <c:pt idx="88">
                  <c:v>494.65949106861831</c:v>
                </c:pt>
                <c:pt idx="89">
                  <c:v>467.67806428305698</c:v>
                </c:pt>
                <c:pt idx="90">
                  <c:v>542.56783573002872</c:v>
                </c:pt>
                <c:pt idx="91">
                  <c:v>542.56783573002929</c:v>
                </c:pt>
                <c:pt idx="92">
                  <c:v>747.41487575054998</c:v>
                </c:pt>
                <c:pt idx="93">
                  <c:v>570.75317784587412</c:v>
                </c:pt>
                <c:pt idx="94">
                  <c:v>804.90832773136128</c:v>
                </c:pt>
                <c:pt idx="95">
                  <c:v>632.6953831934884</c:v>
                </c:pt>
                <c:pt idx="96">
                  <c:v>631.77710252122017</c:v>
                </c:pt>
                <c:pt idx="97">
                  <c:v>767.28363822632957</c:v>
                </c:pt>
                <c:pt idx="98">
                  <c:v>710.4478131725283</c:v>
                </c:pt>
                <c:pt idx="99">
                  <c:v>1105.3704218866417</c:v>
                </c:pt>
                <c:pt idx="100">
                  <c:v>1526.4639159386957</c:v>
                </c:pt>
                <c:pt idx="101">
                  <c:v>1780.8745685951451</c:v>
                </c:pt>
                <c:pt idx="102">
                  <c:v>2137.0494823141698</c:v>
                </c:pt>
                <c:pt idx="103">
                  <c:v>210.2015884243456</c:v>
                </c:pt>
                <c:pt idx="104">
                  <c:v>469.80526320987474</c:v>
                </c:pt>
                <c:pt idx="105">
                  <c:v>665.55745621399194</c:v>
                </c:pt>
                <c:pt idx="106">
                  <c:v>508.95570181069718</c:v>
                </c:pt>
                <c:pt idx="107">
                  <c:v>469.80526320987707</c:v>
                </c:pt>
                <c:pt idx="108">
                  <c:v>548.10614041152201</c:v>
                </c:pt>
                <c:pt idx="109">
                  <c:v>587.25657901234456</c:v>
                </c:pt>
                <c:pt idx="110">
                  <c:v>548.10614041151973</c:v>
                </c:pt>
                <c:pt idx="111">
                  <c:v>469.80526320987707</c:v>
                </c:pt>
                <c:pt idx="112">
                  <c:v>587.25657901234456</c:v>
                </c:pt>
                <c:pt idx="113">
                  <c:v>666.90869463457545</c:v>
                </c:pt>
                <c:pt idx="114">
                  <c:v>549.21892499318108</c:v>
                </c:pt>
                <c:pt idx="115">
                  <c:v>627.67877142077964</c:v>
                </c:pt>
                <c:pt idx="116">
                  <c:v>941.5181571311648</c:v>
                </c:pt>
                <c:pt idx="117">
                  <c:v>437.65443748824362</c:v>
                </c:pt>
                <c:pt idx="118">
                  <c:v>494.96632811170406</c:v>
                </c:pt>
                <c:pt idx="119">
                  <c:v>625.22062498320417</c:v>
                </c:pt>
                <c:pt idx="120">
                  <c:v>635.88953125689761</c:v>
                </c:pt>
                <c:pt idx="121">
                  <c:v>521.40273221378459</c:v>
                </c:pt>
                <c:pt idx="122">
                  <c:v>786.37789120767331</c:v>
                </c:pt>
                <c:pt idx="123">
                  <c:v>856.5902029226462</c:v>
                </c:pt>
                <c:pt idx="124">
                  <c:v>782.10409832067796</c:v>
                </c:pt>
                <c:pt idx="125">
                  <c:v>782.10409832067353</c:v>
                </c:pt>
                <c:pt idx="126">
                  <c:v>744.86104601969157</c:v>
                </c:pt>
                <c:pt idx="127">
                  <c:v>671.02314065830603</c:v>
                </c:pt>
                <c:pt idx="128">
                  <c:v>600.38912585216542</c:v>
                </c:pt>
                <c:pt idx="129">
                  <c:v>582.93348445133347</c:v>
                </c:pt>
                <c:pt idx="130">
                  <c:v>617.22368941906063</c:v>
                </c:pt>
                <c:pt idx="131">
                  <c:v>582.93348445133347</c:v>
                </c:pt>
                <c:pt idx="132">
                  <c:v>514.35307451588312</c:v>
                </c:pt>
                <c:pt idx="133">
                  <c:v>514.35307451588312</c:v>
                </c:pt>
                <c:pt idx="134">
                  <c:v>573.47368756643948</c:v>
                </c:pt>
                <c:pt idx="135">
                  <c:v>472.27244858412973</c:v>
                </c:pt>
                <c:pt idx="136">
                  <c:v>438.53870225668635</c:v>
                </c:pt>
                <c:pt idx="137">
                  <c:v>472.27244858412973</c:v>
                </c:pt>
                <c:pt idx="138">
                  <c:v>506.00619491156493</c:v>
                </c:pt>
                <c:pt idx="139">
                  <c:v>438.53870225669044</c:v>
                </c:pt>
                <c:pt idx="140">
                  <c:v>371.07120960181186</c:v>
                </c:pt>
                <c:pt idx="141">
                  <c:v>582.81870687040305</c:v>
                </c:pt>
                <c:pt idx="142">
                  <c:v>424.48198879768938</c:v>
                </c:pt>
                <c:pt idx="143">
                  <c:v>530.60248599711213</c:v>
                </c:pt>
                <c:pt idx="144">
                  <c:v>530.60248599711213</c:v>
                </c:pt>
                <c:pt idx="145">
                  <c:v>601.34948413005952</c:v>
                </c:pt>
                <c:pt idx="146">
                  <c:v>813.59047852890603</c:v>
                </c:pt>
                <c:pt idx="147">
                  <c:v>848.96397759537763</c:v>
                </c:pt>
                <c:pt idx="148">
                  <c:v>757.78903570952798</c:v>
                </c:pt>
                <c:pt idx="149">
                  <c:v>723.34407954091557</c:v>
                </c:pt>
                <c:pt idx="150">
                  <c:v>757.78903570952798</c:v>
                </c:pt>
                <c:pt idx="151">
                  <c:v>654.45416720368644</c:v>
                </c:pt>
                <c:pt idx="152">
                  <c:v>723.34407954091137</c:v>
                </c:pt>
                <c:pt idx="153">
                  <c:v>723.34407954091557</c:v>
                </c:pt>
                <c:pt idx="154">
                  <c:v>794.26016577041696</c:v>
                </c:pt>
                <c:pt idx="155">
                  <c:v>1130.7432386410005</c:v>
                </c:pt>
                <c:pt idx="156">
                  <c:v>2135.8483396552469</c:v>
                </c:pt>
                <c:pt idx="157">
                  <c:v>334.3595598132024</c:v>
                </c:pt>
                <c:pt idx="158">
                  <c:v>558.39172278568117</c:v>
                </c:pt>
                <c:pt idx="159">
                  <c:v>966.44721251368105</c:v>
                </c:pt>
                <c:pt idx="160">
                  <c:v>699.76278952886594</c:v>
                </c:pt>
                <c:pt idx="161">
                  <c:v>486.79150575920846</c:v>
                </c:pt>
                <c:pt idx="162">
                  <c:v>626.19378512852541</c:v>
                </c:pt>
                <c:pt idx="163">
                  <c:v>670.92191263770155</c:v>
                </c:pt>
                <c:pt idx="164">
                  <c:v>695.77087236502393</c:v>
                </c:pt>
                <c:pt idx="165">
                  <c:v>730.55941598326842</c:v>
                </c:pt>
                <c:pt idx="166">
                  <c:v>578.02503242632929</c:v>
                </c:pt>
                <c:pt idx="167">
                  <c:v>453.45067198961749</c:v>
                </c:pt>
                <c:pt idx="168">
                  <c:v>454.49548920618491</c:v>
                </c:pt>
                <c:pt idx="169">
                  <c:v>436.09924321451092</c:v>
                </c:pt>
                <c:pt idx="170">
                  <c:v>526.50206411907459</c:v>
                </c:pt>
                <c:pt idx="171">
                  <c:v>596.70233933494615</c:v>
                </c:pt>
              </c:numCache>
            </c:numRef>
          </c:yVal>
          <c:smooth val="1"/>
        </c:ser>
        <c:ser>
          <c:idx val="12"/>
          <c:order val="4"/>
          <c:tx>
            <c:v>q1 [l/kg smo wpr] - enzymy 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DANE!$AT$580:$AT$627</c:f>
              <c:numCache>
                <c:formatCode>#,##0</c:formatCode>
                <c:ptCount val="48"/>
                <c:pt idx="0">
                  <c:v>603.75089598157365</c:v>
                </c:pt>
                <c:pt idx="1">
                  <c:v>882.40515566536487</c:v>
                </c:pt>
                <c:pt idx="2">
                  <c:v>1021.7322855072716</c:v>
                </c:pt>
                <c:pt idx="3">
                  <c:v>1072.0573358592872</c:v>
                </c:pt>
                <c:pt idx="4">
                  <c:v>1074.7991704778603</c:v>
                </c:pt>
                <c:pt idx="5">
                  <c:v>1740.1510379165204</c:v>
                </c:pt>
                <c:pt idx="6">
                  <c:v>1702.3216675270417</c:v>
                </c:pt>
                <c:pt idx="7">
                  <c:v>846.55996439183309</c:v>
                </c:pt>
                <c:pt idx="8">
                  <c:v>827.63281071639301</c:v>
                </c:pt>
                <c:pt idx="9">
                  <c:v>1779.6999251419074</c:v>
                </c:pt>
                <c:pt idx="10">
                  <c:v>4241.6181549215926</c:v>
                </c:pt>
                <c:pt idx="11">
                  <c:v>811.41797299247651</c:v>
                </c:pt>
                <c:pt idx="12">
                  <c:v>1172.8907771604804</c:v>
                </c:pt>
                <c:pt idx="13">
                  <c:v>2427.8140937949443</c:v>
                </c:pt>
                <c:pt idx="14">
                  <c:v>504.56595201676896</c:v>
                </c:pt>
                <c:pt idx="15">
                  <c:v>628.82039819810927</c:v>
                </c:pt>
                <c:pt idx="16">
                  <c:v>1073.8408491785365</c:v>
                </c:pt>
                <c:pt idx="17">
                  <c:v>1027.1521166055654</c:v>
                </c:pt>
                <c:pt idx="18">
                  <c:v>1089.7529031707022</c:v>
                </c:pt>
                <c:pt idx="19">
                  <c:v>998.94016123981669</c:v>
                </c:pt>
                <c:pt idx="20">
                  <c:v>1044.3465322052539</c:v>
                </c:pt>
                <c:pt idx="21">
                  <c:v>1044.3465322052648</c:v>
                </c:pt>
                <c:pt idx="22">
                  <c:v>1180.5656451015986</c:v>
                </c:pt>
                <c:pt idx="23">
                  <c:v>1225.9720160670358</c:v>
                </c:pt>
                <c:pt idx="24">
                  <c:v>1203.1674237526058</c:v>
                </c:pt>
                <c:pt idx="25">
                  <c:v>1203.1674237525956</c:v>
                </c:pt>
                <c:pt idx="26">
                  <c:v>1031.286363216512</c:v>
                </c:pt>
                <c:pt idx="27">
                  <c:v>859.40530268042835</c:v>
                </c:pt>
                <c:pt idx="28">
                  <c:v>859.40530268042835</c:v>
                </c:pt>
                <c:pt idx="29">
                  <c:v>1659.5412741415171</c:v>
                </c:pt>
                <c:pt idx="30">
                  <c:v>767.97920665059553</c:v>
                </c:pt>
                <c:pt idx="31">
                  <c:v>802.11161583506828</c:v>
                </c:pt>
                <c:pt idx="32">
                  <c:v>871.57228882693562</c:v>
                </c:pt>
                <c:pt idx="33">
                  <c:v>468.47010524447302</c:v>
                </c:pt>
                <c:pt idx="34">
                  <c:v>767.98377908930559</c:v>
                </c:pt>
                <c:pt idx="35">
                  <c:v>1032.2743734966978</c:v>
                </c:pt>
                <c:pt idx="36">
                  <c:v>2012.9350283185322</c:v>
                </c:pt>
                <c:pt idx="37">
                  <c:v>651.24368563247469</c:v>
                </c:pt>
                <c:pt idx="38">
                  <c:v>801.53069000919936</c:v>
                </c:pt>
                <c:pt idx="39">
                  <c:v>950.2752501480029</c:v>
                </c:pt>
                <c:pt idx="40">
                  <c:v>643.04340235578491</c:v>
                </c:pt>
                <c:pt idx="41">
                  <c:v>912.26424014205963</c:v>
                </c:pt>
                <c:pt idx="42">
                  <c:v>1371.8259250256992</c:v>
                </c:pt>
                <c:pt idx="43">
                  <c:v>1467.0916142635429</c:v>
                </c:pt>
                <c:pt idx="44">
                  <c:v>6001.7384219873265</c:v>
                </c:pt>
                <c:pt idx="45">
                  <c:v>900.26076329807006</c:v>
                </c:pt>
                <c:pt idx="46">
                  <c:v>638.55736062097617</c:v>
                </c:pt>
                <c:pt idx="47">
                  <c:v>830.77615795075792</c:v>
                </c:pt>
              </c:numCache>
            </c:numRef>
          </c:yVal>
          <c:smooth val="1"/>
        </c:ser>
        <c:ser>
          <c:idx val="13"/>
          <c:order val="5"/>
          <c:tx>
            <c:v>q2 [l/kg smo us] - enzymy 20%</c:v>
          </c:tx>
          <c:spPr>
            <a:ln w="28575">
              <a:noFill/>
            </a:ln>
          </c:spPr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DANE!$AU$580:$AU$627</c:f>
              <c:numCache>
                <c:formatCode>General</c:formatCode>
                <c:ptCount val="48"/>
                <c:pt idx="3" formatCode="#,##0">
                  <c:v>1692.1219819780626</c:v>
                </c:pt>
                <c:pt idx="11" formatCode="#,##0">
                  <c:v>2080.5517714320708</c:v>
                </c:pt>
                <c:pt idx="18" formatCode="#,##0">
                  <c:v>1732.398947030641</c:v>
                </c:pt>
                <c:pt idx="24" formatCode="#,##0">
                  <c:v>2028.218730464188</c:v>
                </c:pt>
                <c:pt idx="32" formatCode="#,##0">
                  <c:v>1828.7378477238435</c:v>
                </c:pt>
                <c:pt idx="35" formatCode="#,##0">
                  <c:v>1494.1220991720627</c:v>
                </c:pt>
                <c:pt idx="39" formatCode="#,##0">
                  <c:v>1927.6073370640624</c:v>
                </c:pt>
                <c:pt idx="46" formatCode="#,##0">
                  <c:v>1969.2982165490441</c:v>
                </c:pt>
              </c:numCache>
            </c:numRef>
          </c:yVal>
          <c:smooth val="1"/>
        </c:ser>
        <c:ser>
          <c:idx val="14"/>
          <c:order val="6"/>
          <c:tx>
            <c:v>q3 [l/kg sm] - enzymy 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DANE!$AV$580:$AV$627</c:f>
              <c:numCache>
                <c:formatCode>0</c:formatCode>
                <c:ptCount val="48"/>
                <c:pt idx="0">
                  <c:v>456.30178890320309</c:v>
                </c:pt>
                <c:pt idx="1">
                  <c:v>666.90261455082612</c:v>
                </c:pt>
                <c:pt idx="2">
                  <c:v>772.20302737464613</c:v>
                </c:pt>
                <c:pt idx="3">
                  <c:v>817.68999986688937</c:v>
                </c:pt>
                <c:pt idx="4">
                  <c:v>819.7812786389328</c:v>
                </c:pt>
                <c:pt idx="5">
                  <c:v>1327.264927320165</c:v>
                </c:pt>
                <c:pt idx="6">
                  <c:v>1298.4113419436483</c:v>
                </c:pt>
                <c:pt idx="7">
                  <c:v>645.69645112873854</c:v>
                </c:pt>
                <c:pt idx="8">
                  <c:v>631.26014835959018</c:v>
                </c:pt>
                <c:pt idx="9">
                  <c:v>1357.4300393047236</c:v>
                </c:pt>
                <c:pt idx="10">
                  <c:v>3235.2082603429594</c:v>
                </c:pt>
                <c:pt idx="11">
                  <c:v>622.88064261380146</c:v>
                </c:pt>
                <c:pt idx="12">
                  <c:v>900.36329648849789</c:v>
                </c:pt>
                <c:pt idx="13">
                  <c:v>1863.6984306777988</c:v>
                </c:pt>
                <c:pt idx="14">
                  <c:v>387.32733916920972</c:v>
                </c:pt>
                <c:pt idx="15">
                  <c:v>482.71059645598524</c:v>
                </c:pt>
                <c:pt idx="16">
                  <c:v>824.32815203056748</c:v>
                </c:pt>
                <c:pt idx="17">
                  <c:v>788.48779759446256</c:v>
                </c:pt>
                <c:pt idx="18">
                  <c:v>839.65964799494873</c:v>
                </c:pt>
                <c:pt idx="19">
                  <c:v>769.68801066204128</c:v>
                </c:pt>
                <c:pt idx="20">
                  <c:v>804.6738293284908</c:v>
                </c:pt>
                <c:pt idx="21">
                  <c:v>804.67382932849921</c:v>
                </c:pt>
                <c:pt idx="22">
                  <c:v>909.6312853278647</c:v>
                </c:pt>
                <c:pt idx="23">
                  <c:v>944.61710399431422</c:v>
                </c:pt>
                <c:pt idx="24">
                  <c:v>930.65556249987981</c:v>
                </c:pt>
                <c:pt idx="25">
                  <c:v>930.65556249987173</c:v>
                </c:pt>
                <c:pt idx="26">
                  <c:v>797.70476785703408</c:v>
                </c:pt>
                <c:pt idx="27">
                  <c:v>664.75397321419644</c:v>
                </c:pt>
                <c:pt idx="28">
                  <c:v>664.75397321419644</c:v>
                </c:pt>
                <c:pt idx="29">
                  <c:v>1283.6628448274139</c:v>
                </c:pt>
                <c:pt idx="30">
                  <c:v>594.03546542545212</c:v>
                </c:pt>
                <c:pt idx="31">
                  <c:v>620.43704166658472</c:v>
                </c:pt>
                <c:pt idx="32">
                  <c:v>675.60185084505792</c:v>
                </c:pt>
                <c:pt idx="33">
                  <c:v>363.13599482921484</c:v>
                </c:pt>
                <c:pt idx="34">
                  <c:v>595.30490955609423</c:v>
                </c:pt>
                <c:pt idx="35">
                  <c:v>799.24150260363126</c:v>
                </c:pt>
                <c:pt idx="36">
                  <c:v>1558.5209300770593</c:v>
                </c:pt>
                <c:pt idx="37">
                  <c:v>504.22735973081978</c:v>
                </c:pt>
                <c:pt idx="38">
                  <c:v>620.58751966870113</c:v>
                </c:pt>
                <c:pt idx="39">
                  <c:v>732.99763934429768</c:v>
                </c:pt>
                <c:pt idx="40">
                  <c:v>496.0134401577904</c:v>
                </c:pt>
                <c:pt idx="41">
                  <c:v>703.67773377050798</c:v>
                </c:pt>
                <c:pt idx="42">
                  <c:v>1058.1620056699719</c:v>
                </c:pt>
                <c:pt idx="43">
                  <c:v>1131.6454782859018</c:v>
                </c:pt>
                <c:pt idx="44">
                  <c:v>4629.4587748060439</c:v>
                </c:pt>
                <c:pt idx="45">
                  <c:v>694.4188162208842</c:v>
                </c:pt>
                <c:pt idx="46">
                  <c:v>493.71978008492641</c:v>
                </c:pt>
                <c:pt idx="47">
                  <c:v>642.33950980436703</c:v>
                </c:pt>
              </c:numCache>
            </c:numRef>
          </c:yVal>
          <c:smooth val="1"/>
        </c:ser>
        <c:ser>
          <c:idx val="16"/>
          <c:order val="8"/>
          <c:tx>
            <c:v>q1 [l/kg smo wpr]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DANE!$AT$628:$AT$714</c:f>
              <c:numCache>
                <c:formatCode>#,##0</c:formatCode>
                <c:ptCount val="87"/>
                <c:pt idx="0">
                  <c:v>1117.4753810867146</c:v>
                </c:pt>
                <c:pt idx="1">
                  <c:v>1638.4037542248477</c:v>
                </c:pt>
                <c:pt idx="2">
                  <c:v>2394.5901023285992</c:v>
                </c:pt>
                <c:pt idx="3">
                  <c:v>10775.655460479118</c:v>
                </c:pt>
                <c:pt idx="4">
                  <c:v>16762.130716300722</c:v>
                </c:pt>
                <c:pt idx="5">
                  <c:v>16668.290840846697</c:v>
                </c:pt>
                <c:pt idx="6">
                  <c:v>7143.5532175064664</c:v>
                </c:pt>
                <c:pt idx="7">
                  <c:v>4167.0727102119617</c:v>
                </c:pt>
                <c:pt idx="8">
                  <c:v>4762.3688116705953</c:v>
                </c:pt>
                <c:pt idx="9">
                  <c:v>16668.290840847847</c:v>
                </c:pt>
                <c:pt idx="10">
                  <c:v>14287.106435011785</c:v>
                </c:pt>
                <c:pt idx="11">
                  <c:v>14287.106435012933</c:v>
                </c:pt>
                <c:pt idx="44">
                  <c:v>212.60575052101555</c:v>
                </c:pt>
                <c:pt idx="45">
                  <c:v>297.64805072942585</c:v>
                </c:pt>
                <c:pt idx="46">
                  <c:v>428.61319305035357</c:v>
                </c:pt>
                <c:pt idx="47">
                  <c:v>315.57865619505787</c:v>
                </c:pt>
                <c:pt idx="48">
                  <c:v>429.39390924899442</c:v>
                </c:pt>
                <c:pt idx="49">
                  <c:v>626.62747521983522</c:v>
                </c:pt>
                <c:pt idx="50">
                  <c:v>718.8481225163523</c:v>
                </c:pt>
                <c:pt idx="51">
                  <c:v>722.85955177143649</c:v>
                </c:pt>
                <c:pt idx="52">
                  <c:v>1107.527630621104</c:v>
                </c:pt>
                <c:pt idx="53">
                  <c:v>825.45124316423676</c:v>
                </c:pt>
                <c:pt idx="54">
                  <c:v>538.2394407481903</c:v>
                </c:pt>
                <c:pt idx="55">
                  <c:v>701.63355668960526</c:v>
                </c:pt>
                <c:pt idx="56">
                  <c:v>577.81587021497376</c:v>
                </c:pt>
                <c:pt idx="57">
                  <c:v>619.08843237317762</c:v>
                </c:pt>
                <c:pt idx="58">
                  <c:v>453.99818374032225</c:v>
                </c:pt>
                <c:pt idx="59">
                  <c:v>453.99818374032225</c:v>
                </c:pt>
                <c:pt idx="60">
                  <c:v>660.36099453139479</c:v>
                </c:pt>
                <c:pt idx="61">
                  <c:v>616.33692822930163</c:v>
                </c:pt>
                <c:pt idx="62">
                  <c:v>711.1579941107185</c:v>
                </c:pt>
                <c:pt idx="63">
                  <c:v>517.44704795370069</c:v>
                </c:pt>
                <c:pt idx="64">
                  <c:v>593.43251535591673</c:v>
                </c:pt>
                <c:pt idx="65">
                  <c:v>725.10226850504625</c:v>
                </c:pt>
                <c:pt idx="66">
                  <c:v>610.5224289063874</c:v>
                </c:pt>
                <c:pt idx="67">
                  <c:v>566.55946096515129</c:v>
                </c:pt>
                <c:pt idx="68">
                  <c:v>864.00317797185585</c:v>
                </c:pt>
                <c:pt idx="69">
                  <c:v>544.58382126710501</c:v>
                </c:pt>
                <c:pt idx="70">
                  <c:v>542.11964108038978</c:v>
                </c:pt>
                <c:pt idx="71">
                  <c:v>751.30711127987456</c:v>
                </c:pt>
                <c:pt idx="72">
                  <c:v>768.00282486385584</c:v>
                </c:pt>
                <c:pt idx="73">
                  <c:v>515.82279281901833</c:v>
                </c:pt>
                <c:pt idx="74">
                  <c:v>899.32277733106946</c:v>
                </c:pt>
                <c:pt idx="75">
                  <c:v>532.36696550937017</c:v>
                </c:pt>
                <c:pt idx="76">
                  <c:v>559.33489809615298</c:v>
                </c:pt>
                <c:pt idx="77">
                  <c:v>737.12349070530297</c:v>
                </c:pt>
                <c:pt idx="78">
                  <c:v>532.36696550937017</c:v>
                </c:pt>
                <c:pt idx="79">
                  <c:v>450.46435543100097</c:v>
                </c:pt>
                <c:pt idx="80">
                  <c:v>450.46435543102069</c:v>
                </c:pt>
                <c:pt idx="81">
                  <c:v>418.23226287728642</c:v>
                </c:pt>
                <c:pt idx="82">
                  <c:v>418.23226287728642</c:v>
                </c:pt>
                <c:pt idx="83">
                  <c:v>376.40903658954568</c:v>
                </c:pt>
                <c:pt idx="84">
                  <c:v>418.23226287728642</c:v>
                </c:pt>
                <c:pt idx="85">
                  <c:v>418.23226287728642</c:v>
                </c:pt>
                <c:pt idx="86">
                  <c:v>418.23226287728642</c:v>
                </c:pt>
              </c:numCache>
            </c:numRef>
          </c:yVal>
          <c:smooth val="1"/>
        </c:ser>
        <c:ser>
          <c:idx val="17"/>
          <c:order val="9"/>
          <c:tx>
            <c:v>q2 [l/kg smo us] bez enzymów II</c:v>
          </c:tx>
          <c:dPt>
            <c:idx val="43"/>
            <c:marker>
              <c:symbol val="auto"/>
            </c:marker>
            <c:bubble3D val="0"/>
          </c:dPt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DANE!$AU$628:$AU$714</c:f>
              <c:numCache>
                <c:formatCode>General</c:formatCode>
                <c:ptCount val="87"/>
                <c:pt idx="5" formatCode="#,##0">
                  <c:v>2619.0439166622637</c:v>
                </c:pt>
                <c:pt idx="53" formatCode="#,##0">
                  <c:v>1111.048783042781</c:v>
                </c:pt>
                <c:pt idx="67" formatCode="#,##0">
                  <c:v>1553.4039370903872</c:v>
                </c:pt>
                <c:pt idx="74" formatCode="#,##0">
                  <c:v>1220.9931454434018</c:v>
                </c:pt>
                <c:pt idx="81" formatCode="#,##0">
                  <c:v>957.29947221953762</c:v>
                </c:pt>
              </c:numCache>
            </c:numRef>
          </c:yVal>
          <c:smooth val="1"/>
        </c:ser>
        <c:ser>
          <c:idx val="18"/>
          <c:order val="10"/>
          <c:tx>
            <c:v>q3 [l/kg sm]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DANE!$AV$628:$AV$714</c:f>
              <c:numCache>
                <c:formatCode>0</c:formatCode>
                <c:ptCount val="87"/>
                <c:pt idx="0">
                  <c:v>864.00961514862604</c:v>
                </c:pt>
                <c:pt idx="1">
                  <c:v>1266.7810146915679</c:v>
                </c:pt>
                <c:pt idx="2">
                  <c:v>1851.4491753184263</c:v>
                </c:pt>
                <c:pt idx="3">
                  <c:v>8331.5212889332452</c:v>
                </c:pt>
                <c:pt idx="4">
                  <c:v>12960.144227229392</c:v>
                </c:pt>
                <c:pt idx="5">
                  <c:v>12832.583752551054</c:v>
                </c:pt>
                <c:pt idx="6">
                  <c:v>5499.6787510938775</c:v>
                </c:pt>
                <c:pt idx="7">
                  <c:v>3208.1459381379846</c:v>
                </c:pt>
                <c:pt idx="8">
                  <c:v>3666.4525007289571</c:v>
                </c:pt>
                <c:pt idx="9">
                  <c:v>12832.583752551938</c:v>
                </c:pt>
                <c:pt idx="10">
                  <c:v>10999.357502186871</c:v>
                </c:pt>
                <c:pt idx="11">
                  <c:v>10999.357502187755</c:v>
                </c:pt>
                <c:pt idx="44">
                  <c:v>163.68091521111941</c:v>
                </c:pt>
                <c:pt idx="45">
                  <c:v>229.15328129557034</c:v>
                </c:pt>
                <c:pt idx="46">
                  <c:v>329.98072506560612</c:v>
                </c:pt>
                <c:pt idx="47">
                  <c:v>242.9576958314511</c:v>
                </c:pt>
                <c:pt idx="48">
                  <c:v>330.58178285261573</c:v>
                </c:pt>
                <c:pt idx="49">
                  <c:v>482.4279606222467</c:v>
                </c:pt>
                <c:pt idx="50">
                  <c:v>553.4267925628892</c:v>
                </c:pt>
                <c:pt idx="51">
                  <c:v>556.51511171779339</c:v>
                </c:pt>
                <c:pt idx="52">
                  <c:v>852.66337226257542</c:v>
                </c:pt>
                <c:pt idx="53">
                  <c:v>633.12110350696958</c:v>
                </c:pt>
                <c:pt idx="54">
                  <c:v>412.82965105386188</c:v>
                </c:pt>
                <c:pt idx="55">
                  <c:v>538.15293798092716</c:v>
                </c:pt>
                <c:pt idx="56">
                  <c:v>443.18477245488475</c:v>
                </c:pt>
                <c:pt idx="57">
                  <c:v>474.84082763022712</c:v>
                </c:pt>
                <c:pt idx="58">
                  <c:v>348.21660692882716</c:v>
                </c:pt>
                <c:pt idx="59">
                  <c:v>348.21660692882716</c:v>
                </c:pt>
                <c:pt idx="60">
                  <c:v>506.49688280557979</c:v>
                </c:pt>
                <c:pt idx="61">
                  <c:v>472.73042395187429</c:v>
                </c:pt>
                <c:pt idx="62">
                  <c:v>545.45818148292108</c:v>
                </c:pt>
                <c:pt idx="63">
                  <c:v>396.88188578048829</c:v>
                </c:pt>
                <c:pt idx="64">
                  <c:v>455.16273927798807</c:v>
                </c:pt>
                <c:pt idx="65">
                  <c:v>556.15343994337047</c:v>
                </c:pt>
                <c:pt idx="66">
                  <c:v>468.270702971199</c:v>
                </c:pt>
                <c:pt idx="67">
                  <c:v>435.36695218406084</c:v>
                </c:pt>
                <c:pt idx="68">
                  <c:v>663.9346020806928</c:v>
                </c:pt>
                <c:pt idx="69">
                  <c:v>418.47999161449417</c:v>
                </c:pt>
                <c:pt idx="70">
                  <c:v>416.58641699181476</c:v>
                </c:pt>
                <c:pt idx="71">
                  <c:v>577.33443659190675</c:v>
                </c:pt>
                <c:pt idx="72">
                  <c:v>590.16409073838145</c:v>
                </c:pt>
                <c:pt idx="73">
                  <c:v>396.37886691384642</c:v>
                </c:pt>
                <c:pt idx="74">
                  <c:v>693.4318206888945</c:v>
                </c:pt>
                <c:pt idx="75">
                  <c:v>410.48687242565495</c:v>
                </c:pt>
                <c:pt idx="76">
                  <c:v>431.2807665260197</c:v>
                </c:pt>
                <c:pt idx="77">
                  <c:v>568.3664387432309</c:v>
                </c:pt>
                <c:pt idx="78">
                  <c:v>410.48687242565495</c:v>
                </c:pt>
                <c:pt idx="79">
                  <c:v>347.33504589862758</c:v>
                </c:pt>
                <c:pt idx="80">
                  <c:v>347.33504589864282</c:v>
                </c:pt>
                <c:pt idx="81">
                  <c:v>325.65236916677026</c:v>
                </c:pt>
                <c:pt idx="82">
                  <c:v>325.65236916677026</c:v>
                </c:pt>
                <c:pt idx="83">
                  <c:v>293.08713225008381</c:v>
                </c:pt>
                <c:pt idx="84">
                  <c:v>325.65236916677026</c:v>
                </c:pt>
                <c:pt idx="85">
                  <c:v>325.65236916677026</c:v>
                </c:pt>
                <c:pt idx="86">
                  <c:v>325.65236916677026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70336"/>
        <c:axId val="58470912"/>
      </c:scatterChart>
      <c:scatterChart>
        <c:scatterStyle val="smoothMarker"/>
        <c:varyColors val="0"/>
        <c:ser>
          <c:idx val="3"/>
          <c:order val="3"/>
          <c:tx>
            <c:v>q4 [m3/m3*d] bez enzymów I</c:v>
          </c:tx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DANE!$AW$408:$AW$579</c:f>
              <c:numCache>
                <c:formatCode>0.00</c:formatCode>
                <c:ptCount val="172"/>
                <c:pt idx="0">
                  <c:v>0.68333333333333535</c:v>
                </c:pt>
                <c:pt idx="1">
                  <c:v>0.81145833333333128</c:v>
                </c:pt>
                <c:pt idx="2">
                  <c:v>0.81145833333333128</c:v>
                </c:pt>
                <c:pt idx="3">
                  <c:v>0.81145833333333128</c:v>
                </c:pt>
                <c:pt idx="4">
                  <c:v>0.85416666666666663</c:v>
                </c:pt>
                <c:pt idx="5">
                  <c:v>0.85416666666666663</c:v>
                </c:pt>
                <c:pt idx="6">
                  <c:v>0.85416666666666663</c:v>
                </c:pt>
                <c:pt idx="7">
                  <c:v>0.68333333333333535</c:v>
                </c:pt>
                <c:pt idx="8">
                  <c:v>0.55520833333333952</c:v>
                </c:pt>
                <c:pt idx="9">
                  <c:v>0.5552083333333292</c:v>
                </c:pt>
                <c:pt idx="10">
                  <c:v>0</c:v>
                </c:pt>
                <c:pt idx="11">
                  <c:v>4.27083333333333E-2</c:v>
                </c:pt>
                <c:pt idx="12">
                  <c:v>0.42708333333333331</c:v>
                </c:pt>
                <c:pt idx="13">
                  <c:v>0.51250000000000007</c:v>
                </c:pt>
                <c:pt idx="14">
                  <c:v>0.51250000000000007</c:v>
                </c:pt>
                <c:pt idx="15">
                  <c:v>0.55520833333333341</c:v>
                </c:pt>
                <c:pt idx="16">
                  <c:v>0.55520833333333308</c:v>
                </c:pt>
                <c:pt idx="17">
                  <c:v>0.51250000000000029</c:v>
                </c:pt>
                <c:pt idx="18">
                  <c:v>0.51250000000000029</c:v>
                </c:pt>
                <c:pt idx="19">
                  <c:v>0.55520833333333308</c:v>
                </c:pt>
                <c:pt idx="20">
                  <c:v>0.38437499999999986</c:v>
                </c:pt>
                <c:pt idx="21">
                  <c:v>0.38437500000000052</c:v>
                </c:pt>
                <c:pt idx="22">
                  <c:v>0.29895833333333294</c:v>
                </c:pt>
                <c:pt idx="23">
                  <c:v>0.2989583333333336</c:v>
                </c:pt>
                <c:pt idx="24">
                  <c:v>0.38437500000000052</c:v>
                </c:pt>
                <c:pt idx="25">
                  <c:v>0.46979166666666616</c:v>
                </c:pt>
                <c:pt idx="26">
                  <c:v>0.46979166666666616</c:v>
                </c:pt>
                <c:pt idx="27">
                  <c:v>0.55520833333333441</c:v>
                </c:pt>
                <c:pt idx="28">
                  <c:v>0.59791666666666587</c:v>
                </c:pt>
                <c:pt idx="29">
                  <c:v>0.59791666666666721</c:v>
                </c:pt>
                <c:pt idx="30">
                  <c:v>0.640625</c:v>
                </c:pt>
                <c:pt idx="31">
                  <c:v>0.59791666666666721</c:v>
                </c:pt>
                <c:pt idx="32">
                  <c:v>0.68333333333333279</c:v>
                </c:pt>
                <c:pt idx="33">
                  <c:v>0.640625</c:v>
                </c:pt>
                <c:pt idx="34">
                  <c:v>0.46979166666666744</c:v>
                </c:pt>
                <c:pt idx="35">
                  <c:v>0.51249999999999896</c:v>
                </c:pt>
                <c:pt idx="36">
                  <c:v>0.640625</c:v>
                </c:pt>
                <c:pt idx="37">
                  <c:v>0.59791666666666721</c:v>
                </c:pt>
                <c:pt idx="38">
                  <c:v>0.68333333333333279</c:v>
                </c:pt>
                <c:pt idx="39">
                  <c:v>0.46979166666666616</c:v>
                </c:pt>
                <c:pt idx="40">
                  <c:v>0.55520833333333441</c:v>
                </c:pt>
                <c:pt idx="41">
                  <c:v>0.640625</c:v>
                </c:pt>
                <c:pt idx="42">
                  <c:v>0.51249999999999896</c:v>
                </c:pt>
                <c:pt idx="43">
                  <c:v>0.59791666666666721</c:v>
                </c:pt>
                <c:pt idx="44">
                  <c:v>0.59791666666666721</c:v>
                </c:pt>
                <c:pt idx="45">
                  <c:v>0.640625</c:v>
                </c:pt>
                <c:pt idx="46">
                  <c:v>0.68333333333333279</c:v>
                </c:pt>
                <c:pt idx="47">
                  <c:v>0.55520833333333441</c:v>
                </c:pt>
                <c:pt idx="48">
                  <c:v>0.55520833333333441</c:v>
                </c:pt>
                <c:pt idx="49">
                  <c:v>0.72604166666666559</c:v>
                </c:pt>
                <c:pt idx="50">
                  <c:v>0.72604166666666559</c:v>
                </c:pt>
                <c:pt idx="51">
                  <c:v>0.68333333333333535</c:v>
                </c:pt>
                <c:pt idx="52">
                  <c:v>0.76874999999999849</c:v>
                </c:pt>
                <c:pt idx="53">
                  <c:v>0.59791666666666976</c:v>
                </c:pt>
                <c:pt idx="54">
                  <c:v>0.68333333333333024</c:v>
                </c:pt>
                <c:pt idx="55">
                  <c:v>0.68333333333333535</c:v>
                </c:pt>
                <c:pt idx="56">
                  <c:v>0.68333333333333024</c:v>
                </c:pt>
                <c:pt idx="57">
                  <c:v>0.7260416666666708</c:v>
                </c:pt>
                <c:pt idx="58">
                  <c:v>0.72604166666666559</c:v>
                </c:pt>
                <c:pt idx="59">
                  <c:v>0.59791666666666465</c:v>
                </c:pt>
                <c:pt idx="60">
                  <c:v>0.59791666666666976</c:v>
                </c:pt>
                <c:pt idx="61">
                  <c:v>0.640625</c:v>
                </c:pt>
                <c:pt idx="62">
                  <c:v>0.640625</c:v>
                </c:pt>
                <c:pt idx="63">
                  <c:v>0.59791666666666465</c:v>
                </c:pt>
                <c:pt idx="64">
                  <c:v>0.55520833333333441</c:v>
                </c:pt>
                <c:pt idx="65">
                  <c:v>0.55520833333333441</c:v>
                </c:pt>
                <c:pt idx="66">
                  <c:v>0.59791666666666465</c:v>
                </c:pt>
                <c:pt idx="67">
                  <c:v>0.640625</c:v>
                </c:pt>
                <c:pt idx="68">
                  <c:v>0.640625</c:v>
                </c:pt>
                <c:pt idx="69">
                  <c:v>0.46979166666666872</c:v>
                </c:pt>
                <c:pt idx="70">
                  <c:v>0.640625</c:v>
                </c:pt>
                <c:pt idx="71">
                  <c:v>0.59791666666666465</c:v>
                </c:pt>
                <c:pt idx="72">
                  <c:v>0.51249999999999896</c:v>
                </c:pt>
                <c:pt idx="73">
                  <c:v>0.51249999999999896</c:v>
                </c:pt>
                <c:pt idx="74">
                  <c:v>0.55520833333333441</c:v>
                </c:pt>
                <c:pt idx="75">
                  <c:v>0.55520833333333441</c:v>
                </c:pt>
                <c:pt idx="76">
                  <c:v>0.34166666666666767</c:v>
                </c:pt>
                <c:pt idx="77">
                  <c:v>0.38437499999999791</c:v>
                </c:pt>
                <c:pt idx="78">
                  <c:v>0.46979166666666872</c:v>
                </c:pt>
                <c:pt idx="79">
                  <c:v>0.59791666666666465</c:v>
                </c:pt>
                <c:pt idx="80">
                  <c:v>0.55520833333333441</c:v>
                </c:pt>
                <c:pt idx="81">
                  <c:v>0</c:v>
                </c:pt>
                <c:pt idx="82">
                  <c:v>0.42708333333333331</c:v>
                </c:pt>
                <c:pt idx="83">
                  <c:v>0.46979166666666677</c:v>
                </c:pt>
                <c:pt idx="84">
                  <c:v>0.46979166666666661</c:v>
                </c:pt>
                <c:pt idx="85">
                  <c:v>0.51250000000000007</c:v>
                </c:pt>
                <c:pt idx="86">
                  <c:v>0.42708333333333331</c:v>
                </c:pt>
                <c:pt idx="87">
                  <c:v>0.46979166666666677</c:v>
                </c:pt>
                <c:pt idx="88">
                  <c:v>0.59791666666666687</c:v>
                </c:pt>
                <c:pt idx="89">
                  <c:v>0.55520833333333308</c:v>
                </c:pt>
                <c:pt idx="90">
                  <c:v>0.59791666666666654</c:v>
                </c:pt>
                <c:pt idx="91">
                  <c:v>0.59791666666666721</c:v>
                </c:pt>
                <c:pt idx="92">
                  <c:v>0.640625</c:v>
                </c:pt>
                <c:pt idx="93">
                  <c:v>0.51249999999999962</c:v>
                </c:pt>
                <c:pt idx="94">
                  <c:v>0.640625</c:v>
                </c:pt>
                <c:pt idx="95">
                  <c:v>0.55520833333333308</c:v>
                </c:pt>
                <c:pt idx="96">
                  <c:v>0.68333333333333413</c:v>
                </c:pt>
                <c:pt idx="97">
                  <c:v>0.76874999999999971</c:v>
                </c:pt>
                <c:pt idx="98">
                  <c:v>0.68333333333333413</c:v>
                </c:pt>
                <c:pt idx="99">
                  <c:v>0.640625</c:v>
                </c:pt>
                <c:pt idx="100">
                  <c:v>0.640625</c:v>
                </c:pt>
                <c:pt idx="101">
                  <c:v>0.42708333333333331</c:v>
                </c:pt>
                <c:pt idx="102">
                  <c:v>0.25624999999999948</c:v>
                </c:pt>
                <c:pt idx="103">
                  <c:v>0.25625000000000075</c:v>
                </c:pt>
                <c:pt idx="104">
                  <c:v>0.76874999999999849</c:v>
                </c:pt>
                <c:pt idx="105">
                  <c:v>0.72604166666666825</c:v>
                </c:pt>
                <c:pt idx="106">
                  <c:v>0.55520833333333175</c:v>
                </c:pt>
                <c:pt idx="107">
                  <c:v>0.51250000000000151</c:v>
                </c:pt>
                <c:pt idx="108">
                  <c:v>0.59791666666666721</c:v>
                </c:pt>
                <c:pt idx="109">
                  <c:v>0.640625</c:v>
                </c:pt>
                <c:pt idx="110">
                  <c:v>0.59791666666666465</c:v>
                </c:pt>
                <c:pt idx="111">
                  <c:v>0.51250000000000151</c:v>
                </c:pt>
                <c:pt idx="112">
                  <c:v>0.640625</c:v>
                </c:pt>
                <c:pt idx="113">
                  <c:v>0.72604166666666559</c:v>
                </c:pt>
                <c:pt idx="114">
                  <c:v>0.59791666666666721</c:v>
                </c:pt>
                <c:pt idx="115">
                  <c:v>0.51250000000000151</c:v>
                </c:pt>
                <c:pt idx="116">
                  <c:v>0.51249999999999896</c:v>
                </c:pt>
                <c:pt idx="117">
                  <c:v>0.59791666666666721</c:v>
                </c:pt>
                <c:pt idx="118">
                  <c:v>0.81145833333333384</c:v>
                </c:pt>
                <c:pt idx="119">
                  <c:v>0.68333333333333279</c:v>
                </c:pt>
                <c:pt idx="120">
                  <c:v>0.640625</c:v>
                </c:pt>
                <c:pt idx="121">
                  <c:v>0.59791666666666721</c:v>
                </c:pt>
                <c:pt idx="122">
                  <c:v>0.98229166666666512</c:v>
                </c:pt>
                <c:pt idx="123">
                  <c:v>0.98229166666666767</c:v>
                </c:pt>
                <c:pt idx="124">
                  <c:v>0.89687500000000209</c:v>
                </c:pt>
                <c:pt idx="125">
                  <c:v>0.89687499999999687</c:v>
                </c:pt>
                <c:pt idx="126">
                  <c:v>0.85416666666666663</c:v>
                </c:pt>
                <c:pt idx="127">
                  <c:v>0.81145833333333639</c:v>
                </c:pt>
                <c:pt idx="128">
                  <c:v>0.72604166666666559</c:v>
                </c:pt>
                <c:pt idx="129">
                  <c:v>0.72604166666666559</c:v>
                </c:pt>
                <c:pt idx="130">
                  <c:v>0.76875000000000104</c:v>
                </c:pt>
                <c:pt idx="131">
                  <c:v>0.72604166666666559</c:v>
                </c:pt>
                <c:pt idx="132">
                  <c:v>0.640625</c:v>
                </c:pt>
                <c:pt idx="133">
                  <c:v>0.640625</c:v>
                </c:pt>
                <c:pt idx="134">
                  <c:v>0.72604166666666559</c:v>
                </c:pt>
                <c:pt idx="135">
                  <c:v>0.59791666666666976</c:v>
                </c:pt>
                <c:pt idx="136">
                  <c:v>0.5552083333333292</c:v>
                </c:pt>
                <c:pt idx="137">
                  <c:v>0.59791666666666976</c:v>
                </c:pt>
                <c:pt idx="138">
                  <c:v>0.640625</c:v>
                </c:pt>
                <c:pt idx="139">
                  <c:v>0.55520833333333441</c:v>
                </c:pt>
                <c:pt idx="140">
                  <c:v>0.46979166666666355</c:v>
                </c:pt>
                <c:pt idx="141">
                  <c:v>0.89687500000000542</c:v>
                </c:pt>
                <c:pt idx="142">
                  <c:v>0.640625</c:v>
                </c:pt>
                <c:pt idx="143">
                  <c:v>0.640625</c:v>
                </c:pt>
                <c:pt idx="144">
                  <c:v>0.640625</c:v>
                </c:pt>
                <c:pt idx="145">
                  <c:v>0.72604166666666559</c:v>
                </c:pt>
                <c:pt idx="146">
                  <c:v>0.98229166666666767</c:v>
                </c:pt>
                <c:pt idx="147">
                  <c:v>1.0249999999999979</c:v>
                </c:pt>
                <c:pt idx="148">
                  <c:v>0.93958333333333233</c:v>
                </c:pt>
                <c:pt idx="149">
                  <c:v>0.89687500000000209</c:v>
                </c:pt>
                <c:pt idx="150">
                  <c:v>0.93958333333333233</c:v>
                </c:pt>
                <c:pt idx="151">
                  <c:v>0.81145833333333639</c:v>
                </c:pt>
                <c:pt idx="152">
                  <c:v>0.89687499999999687</c:v>
                </c:pt>
                <c:pt idx="153">
                  <c:v>0.89687500000000209</c:v>
                </c:pt>
                <c:pt idx="154">
                  <c:v>0.89687500000000209</c:v>
                </c:pt>
                <c:pt idx="155">
                  <c:v>0.76874999999999583</c:v>
                </c:pt>
                <c:pt idx="156">
                  <c:v>0.7260416666666708</c:v>
                </c:pt>
                <c:pt idx="157">
                  <c:v>0.46979166666666872</c:v>
                </c:pt>
                <c:pt idx="158">
                  <c:v>1.0249999999999979</c:v>
                </c:pt>
                <c:pt idx="159">
                  <c:v>0.85416666666666663</c:v>
                </c:pt>
                <c:pt idx="160">
                  <c:v>0.640625</c:v>
                </c:pt>
                <c:pt idx="161">
                  <c:v>0.76874999999999583</c:v>
                </c:pt>
                <c:pt idx="162">
                  <c:v>0.98229166666667289</c:v>
                </c:pt>
                <c:pt idx="163">
                  <c:v>0.85416666666666663</c:v>
                </c:pt>
                <c:pt idx="164">
                  <c:v>0.85416666666666663</c:v>
                </c:pt>
                <c:pt idx="165">
                  <c:v>0.89687499999999176</c:v>
                </c:pt>
                <c:pt idx="166">
                  <c:v>0.68333333333333535</c:v>
                </c:pt>
                <c:pt idx="167">
                  <c:v>0.59791666666666465</c:v>
                </c:pt>
                <c:pt idx="168">
                  <c:v>0.640625</c:v>
                </c:pt>
                <c:pt idx="169">
                  <c:v>0.55520833333333952</c:v>
                </c:pt>
                <c:pt idx="170">
                  <c:v>0.640625</c:v>
                </c:pt>
                <c:pt idx="171">
                  <c:v>0.72604166666666048</c:v>
                </c:pt>
              </c:numCache>
            </c:numRef>
          </c:yVal>
          <c:smooth val="1"/>
        </c:ser>
        <c:ser>
          <c:idx val="15"/>
          <c:order val="7"/>
          <c:tx>
            <c:v>q4 [m3/m3*d] - enzymy 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DANE!$AW$580:$AW$627</c:f>
              <c:numCache>
                <c:formatCode>0.00</c:formatCode>
                <c:ptCount val="48"/>
                <c:pt idx="0">
                  <c:v>0.55520833333333952</c:v>
                </c:pt>
                <c:pt idx="1">
                  <c:v>0.81145833333333128</c:v>
                </c:pt>
                <c:pt idx="2">
                  <c:v>0.93958333333333743</c:v>
                </c:pt>
                <c:pt idx="3">
                  <c:v>0.98229166666666257</c:v>
                </c:pt>
                <c:pt idx="4">
                  <c:v>0.89687500000000209</c:v>
                </c:pt>
                <c:pt idx="5">
                  <c:v>0.93958333333332711</c:v>
                </c:pt>
                <c:pt idx="6">
                  <c:v>0.640625</c:v>
                </c:pt>
                <c:pt idx="7">
                  <c:v>0.51250000000000417</c:v>
                </c:pt>
                <c:pt idx="8">
                  <c:v>0.5552083333333292</c:v>
                </c:pt>
                <c:pt idx="9">
                  <c:v>0.640625</c:v>
                </c:pt>
                <c:pt idx="10">
                  <c:v>0.55520833333333952</c:v>
                </c:pt>
                <c:pt idx="11">
                  <c:v>0.28828124999999832</c:v>
                </c:pt>
                <c:pt idx="12">
                  <c:v>0.51250000000000417</c:v>
                </c:pt>
                <c:pt idx="13">
                  <c:v>0.5552083333333292</c:v>
                </c:pt>
                <c:pt idx="14">
                  <c:v>0.46979166666666872</c:v>
                </c:pt>
                <c:pt idx="15">
                  <c:v>0.81145833333333128</c:v>
                </c:pt>
                <c:pt idx="16">
                  <c:v>0.98229166666666257</c:v>
                </c:pt>
                <c:pt idx="17">
                  <c:v>0.93958333333333743</c:v>
                </c:pt>
                <c:pt idx="18">
                  <c:v>1.0249999999999979</c:v>
                </c:pt>
                <c:pt idx="19">
                  <c:v>0.93958333333333743</c:v>
                </c:pt>
                <c:pt idx="20">
                  <c:v>0.98229166666666257</c:v>
                </c:pt>
                <c:pt idx="21">
                  <c:v>0.98229166666667289</c:v>
                </c:pt>
                <c:pt idx="22">
                  <c:v>1.1104166666666688</c:v>
                </c:pt>
                <c:pt idx="23">
                  <c:v>1.1531249999999937</c:v>
                </c:pt>
                <c:pt idx="24">
                  <c:v>1.1958333333333395</c:v>
                </c:pt>
                <c:pt idx="25">
                  <c:v>1.1958333333333293</c:v>
                </c:pt>
                <c:pt idx="26">
                  <c:v>1.0249999999999979</c:v>
                </c:pt>
                <c:pt idx="27">
                  <c:v>0.85416666666666663</c:v>
                </c:pt>
                <c:pt idx="28">
                  <c:v>0.85416666666666663</c:v>
                </c:pt>
                <c:pt idx="29">
                  <c:v>0.85416666666666663</c:v>
                </c:pt>
                <c:pt idx="30">
                  <c:v>0.640625</c:v>
                </c:pt>
                <c:pt idx="31">
                  <c:v>0.89687500000000209</c:v>
                </c:pt>
                <c:pt idx="32">
                  <c:v>0.68333333333333535</c:v>
                </c:pt>
                <c:pt idx="33">
                  <c:v>0.5552083333333292</c:v>
                </c:pt>
                <c:pt idx="34">
                  <c:v>0.85416666666666663</c:v>
                </c:pt>
                <c:pt idx="35">
                  <c:v>0.7260416666666708</c:v>
                </c:pt>
                <c:pt idx="36">
                  <c:v>0.72604166666666048</c:v>
                </c:pt>
                <c:pt idx="37">
                  <c:v>0.46979166666666872</c:v>
                </c:pt>
                <c:pt idx="38">
                  <c:v>0.93958333333333743</c:v>
                </c:pt>
                <c:pt idx="39">
                  <c:v>0.81145833333334161</c:v>
                </c:pt>
                <c:pt idx="40">
                  <c:v>0.640625</c:v>
                </c:pt>
                <c:pt idx="41">
                  <c:v>0.81145833333332096</c:v>
                </c:pt>
                <c:pt idx="42">
                  <c:v>0.68333333333334567</c:v>
                </c:pt>
                <c:pt idx="43">
                  <c:v>0.46979166666665845</c:v>
                </c:pt>
                <c:pt idx="44">
                  <c:v>0.42708333333333331</c:v>
                </c:pt>
                <c:pt idx="45">
                  <c:v>0.25624999999999176</c:v>
                </c:pt>
                <c:pt idx="46">
                  <c:v>0.51250000000000417</c:v>
                </c:pt>
                <c:pt idx="47">
                  <c:v>0.7260416666666708</c:v>
                </c:pt>
              </c:numCache>
            </c:numRef>
          </c:yVal>
          <c:smooth val="1"/>
        </c:ser>
        <c:ser>
          <c:idx val="19"/>
          <c:order val="11"/>
          <c:tx>
            <c:v>q4 [m3/m3*d]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DANE!$AW$628:$AW$714</c:f>
              <c:numCache>
                <c:formatCode>0.00</c:formatCode>
                <c:ptCount val="87"/>
                <c:pt idx="0">
                  <c:v>0.59791666666667487</c:v>
                </c:pt>
                <c:pt idx="1">
                  <c:v>0.5552083333333292</c:v>
                </c:pt>
                <c:pt idx="2">
                  <c:v>0.46979166666665845</c:v>
                </c:pt>
                <c:pt idx="3">
                  <c:v>0.38437500000000824</c:v>
                </c:pt>
                <c:pt idx="4">
                  <c:v>0.29895833333333743</c:v>
                </c:pt>
                <c:pt idx="5">
                  <c:v>0.29895833333331684</c:v>
                </c:pt>
                <c:pt idx="6">
                  <c:v>0.25625000000001236</c:v>
                </c:pt>
                <c:pt idx="7">
                  <c:v>0.29895833333333743</c:v>
                </c:pt>
                <c:pt idx="8">
                  <c:v>0.25624999999999176</c:v>
                </c:pt>
                <c:pt idx="9">
                  <c:v>0.29895833333333743</c:v>
                </c:pt>
                <c:pt idx="10">
                  <c:v>0.25624999999999176</c:v>
                </c:pt>
                <c:pt idx="11">
                  <c:v>0.25625000000001236</c:v>
                </c:pt>
                <c:pt idx="12">
                  <c:v>0.29895833333331684</c:v>
                </c:pt>
                <c:pt idx="13">
                  <c:v>0.25625000000001236</c:v>
                </c:pt>
                <c:pt idx="14">
                  <c:v>0.25624999999999176</c:v>
                </c:pt>
                <c:pt idx="15">
                  <c:v>0.21354166666666666</c:v>
                </c:pt>
                <c:pt idx="16">
                  <c:v>0.25625000000001236</c:v>
                </c:pt>
                <c:pt idx="17">
                  <c:v>0.17083333333332099</c:v>
                </c:pt>
                <c:pt idx="18">
                  <c:v>0.25625000000001236</c:v>
                </c:pt>
                <c:pt idx="19">
                  <c:v>0.21354166666666666</c:v>
                </c:pt>
                <c:pt idx="20">
                  <c:v>0.25624999999999176</c:v>
                </c:pt>
                <c:pt idx="21">
                  <c:v>0.21354166666666666</c:v>
                </c:pt>
                <c:pt idx="22">
                  <c:v>0.25624999999999176</c:v>
                </c:pt>
                <c:pt idx="23">
                  <c:v>0.25625000000001236</c:v>
                </c:pt>
                <c:pt idx="24">
                  <c:v>0.25624999999999176</c:v>
                </c:pt>
                <c:pt idx="25">
                  <c:v>0.25625000000001236</c:v>
                </c:pt>
                <c:pt idx="26">
                  <c:v>0.21354166666666666</c:v>
                </c:pt>
                <c:pt idx="27">
                  <c:v>0.21354166666666666</c:v>
                </c:pt>
                <c:pt idx="28">
                  <c:v>0.25624999999999176</c:v>
                </c:pt>
                <c:pt idx="29">
                  <c:v>0.21354166666666666</c:v>
                </c:pt>
                <c:pt idx="30">
                  <c:v>0.21354166666666666</c:v>
                </c:pt>
                <c:pt idx="31">
                  <c:v>0.17083333333334158</c:v>
                </c:pt>
                <c:pt idx="32">
                  <c:v>0.21354166666666666</c:v>
                </c:pt>
                <c:pt idx="33">
                  <c:v>0.17083333333332099</c:v>
                </c:pt>
                <c:pt idx="34">
                  <c:v>0.21354166666666666</c:v>
                </c:pt>
                <c:pt idx="35">
                  <c:v>0.21354166666666666</c:v>
                </c:pt>
                <c:pt idx="36">
                  <c:v>0.17083333333334158</c:v>
                </c:pt>
                <c:pt idx="37">
                  <c:v>0.21354166666666666</c:v>
                </c:pt>
                <c:pt idx="38">
                  <c:v>0.17083333333332099</c:v>
                </c:pt>
                <c:pt idx="39">
                  <c:v>0.21354166666666666</c:v>
                </c:pt>
                <c:pt idx="40">
                  <c:v>0.21354166666666666</c:v>
                </c:pt>
                <c:pt idx="41">
                  <c:v>0.17083333333334158</c:v>
                </c:pt>
                <c:pt idx="42">
                  <c:v>0.21354166666666666</c:v>
                </c:pt>
                <c:pt idx="43">
                  <c:v>0.21354166666666666</c:v>
                </c:pt>
                <c:pt idx="44">
                  <c:v>0.21354166666666666</c:v>
                </c:pt>
                <c:pt idx="45">
                  <c:v>0.29895833333333743</c:v>
                </c:pt>
                <c:pt idx="46">
                  <c:v>0.38437499999998764</c:v>
                </c:pt>
                <c:pt idx="47">
                  <c:v>0.46979166666667904</c:v>
                </c:pt>
                <c:pt idx="48">
                  <c:v>0.46979166666665845</c:v>
                </c:pt>
                <c:pt idx="49">
                  <c:v>0.640625</c:v>
                </c:pt>
                <c:pt idx="50">
                  <c:v>0.68333333333334567</c:v>
                </c:pt>
                <c:pt idx="51">
                  <c:v>0.72604166666665015</c:v>
                </c:pt>
                <c:pt idx="52">
                  <c:v>0.85416666666666663</c:v>
                </c:pt>
                <c:pt idx="53">
                  <c:v>0.85416666666666663</c:v>
                </c:pt>
                <c:pt idx="54">
                  <c:v>0.7260416666666708</c:v>
                </c:pt>
                <c:pt idx="55">
                  <c:v>0.7260416666666708</c:v>
                </c:pt>
                <c:pt idx="56">
                  <c:v>0.59791666666667487</c:v>
                </c:pt>
                <c:pt idx="57">
                  <c:v>0.640625</c:v>
                </c:pt>
                <c:pt idx="58">
                  <c:v>0.46979166666665845</c:v>
                </c:pt>
                <c:pt idx="59">
                  <c:v>0.46979166666665845</c:v>
                </c:pt>
                <c:pt idx="60">
                  <c:v>0.51250000000000417</c:v>
                </c:pt>
                <c:pt idx="61">
                  <c:v>0.51250000000000417</c:v>
                </c:pt>
                <c:pt idx="62">
                  <c:v>0.68333333333332513</c:v>
                </c:pt>
                <c:pt idx="63">
                  <c:v>0.640625</c:v>
                </c:pt>
                <c:pt idx="64">
                  <c:v>0.81145833333334161</c:v>
                </c:pt>
                <c:pt idx="65">
                  <c:v>0.68333333333332513</c:v>
                </c:pt>
                <c:pt idx="66">
                  <c:v>0.59791666666667487</c:v>
                </c:pt>
                <c:pt idx="67">
                  <c:v>0.640625</c:v>
                </c:pt>
                <c:pt idx="68">
                  <c:v>0.640625</c:v>
                </c:pt>
                <c:pt idx="69">
                  <c:v>0.5552083333333292</c:v>
                </c:pt>
                <c:pt idx="70">
                  <c:v>0.68333333333334567</c:v>
                </c:pt>
                <c:pt idx="71">
                  <c:v>0.640625</c:v>
                </c:pt>
                <c:pt idx="72">
                  <c:v>0.59791666666665433</c:v>
                </c:pt>
                <c:pt idx="73">
                  <c:v>0.640625</c:v>
                </c:pt>
                <c:pt idx="74">
                  <c:v>0.85416666666666663</c:v>
                </c:pt>
                <c:pt idx="75">
                  <c:v>0.5552083333333292</c:v>
                </c:pt>
                <c:pt idx="76">
                  <c:v>0.85416666666666663</c:v>
                </c:pt>
                <c:pt idx="77">
                  <c:v>0.76875000000001648</c:v>
                </c:pt>
                <c:pt idx="78">
                  <c:v>0.5552083333333292</c:v>
                </c:pt>
                <c:pt idx="79">
                  <c:v>0.46979166666665845</c:v>
                </c:pt>
                <c:pt idx="80">
                  <c:v>0.46979166666667904</c:v>
                </c:pt>
                <c:pt idx="81">
                  <c:v>0.42708333333333331</c:v>
                </c:pt>
                <c:pt idx="82">
                  <c:v>0.42708333333333331</c:v>
                </c:pt>
                <c:pt idx="83">
                  <c:v>0.38437499999998764</c:v>
                </c:pt>
                <c:pt idx="84">
                  <c:v>0.42708333333333331</c:v>
                </c:pt>
                <c:pt idx="85">
                  <c:v>0.42708333333333331</c:v>
                </c:pt>
                <c:pt idx="86">
                  <c:v>0.42708333333333331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71488"/>
        <c:axId val="58472064"/>
      </c:scatterChart>
      <c:valAx>
        <c:axId val="584703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58470912"/>
        <c:crosses val="autoZero"/>
        <c:crossBetween val="midCat"/>
        <c:majorUnit val="15"/>
      </c:valAx>
      <c:valAx>
        <c:axId val="58470912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 WSKAŹNIK PRODUKCJI BIOGAZU [l/kg smo wpr] ,  [l/kg smo us], [l/kg smwpr] 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58470336"/>
        <c:crosses val="autoZero"/>
        <c:crossBetween val="midCat"/>
      </c:valAx>
      <c:valAx>
        <c:axId val="58471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8472064"/>
        <c:crosses val="autoZero"/>
        <c:crossBetween val="midCat"/>
      </c:valAx>
      <c:valAx>
        <c:axId val="5847206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pl-PL"/>
                  <a:t> WSKAŹNIK PRODUKCJI BIOGAZU    [ m3/m3*d]</a:t>
                </a:r>
              </a:p>
            </c:rich>
          </c:tx>
          <c:layout>
            <c:manualLayout>
              <c:xMode val="edge"/>
              <c:yMode val="edge"/>
              <c:x val="0.93923701647951419"/>
              <c:y val="0.2550165790404798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58471488"/>
        <c:crosses val="max"/>
        <c:crossBetween val="midCat"/>
      </c:valAx>
    </c:plotArea>
    <c:legend>
      <c:legendPos val="b"/>
      <c:layout>
        <c:manualLayout>
          <c:xMode val="edge"/>
          <c:yMode val="edge"/>
          <c:x val="2.981881701647366E-2"/>
          <c:y val="0.89096243909459094"/>
          <c:w val="0.92450511945392488"/>
          <c:h val="8.8149832445879886E-2"/>
        </c:manualLayout>
      </c:layout>
      <c:overlay val="0"/>
    </c:legend>
    <c:plotVisOnly val="1"/>
    <c:dispBlanksAs val="span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PRODUKCJA BIOGAZU 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TERMO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68560371933265E-2"/>
          <c:y val="0.10044744145885159"/>
          <c:w val="0.8239645266184884"/>
          <c:h val="0.6363221150881041"/>
        </c:manualLayout>
      </c:layout>
      <c:scatterChart>
        <c:scatterStyle val="smoothMarker"/>
        <c:varyColors val="0"/>
        <c:ser>
          <c:idx val="0"/>
          <c:order val="0"/>
          <c:tx>
            <c:v>q1 [l/kg smo wpr] bez enzymów I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DANE!$CE$408:$CE$579</c:f>
              <c:numCache>
                <c:formatCode>0</c:formatCode>
                <c:ptCount val="172"/>
                <c:pt idx="0">
                  <c:v>810.02666849157572</c:v>
                </c:pt>
                <c:pt idx="1">
                  <c:v>799.8783604747083</c:v>
                </c:pt>
                <c:pt idx="2">
                  <c:v>799.8783604747083</c:v>
                </c:pt>
                <c:pt idx="3">
                  <c:v>799.8783604747083</c:v>
                </c:pt>
                <c:pt idx="4">
                  <c:v>799.8783604747083</c:v>
                </c:pt>
                <c:pt idx="5">
                  <c:v>676.82015117090702</c:v>
                </c:pt>
                <c:pt idx="6">
                  <c:v>796.91731575111669</c:v>
                </c:pt>
                <c:pt idx="7">
                  <c:v>747.10998351667183</c:v>
                </c:pt>
                <c:pt idx="8">
                  <c:v>537.3587257444434</c:v>
                </c:pt>
                <c:pt idx="9">
                  <c:v>507.50546320308547</c:v>
                </c:pt>
                <c:pt idx="11">
                  <c:v>380.62909740231407</c:v>
                </c:pt>
                <c:pt idx="12">
                  <c:v>392.90745538303389</c:v>
                </c:pt>
                <c:pt idx="13">
                  <c:v>430.61069605110282</c:v>
                </c:pt>
                <c:pt idx="14">
                  <c:v>509.74436798858329</c:v>
                </c:pt>
                <c:pt idx="15">
                  <c:v>566.11033175655166</c:v>
                </c:pt>
                <c:pt idx="16">
                  <c:v>566.11033175655166</c:v>
                </c:pt>
                <c:pt idx="17">
                  <c:v>350.449252992151</c:v>
                </c:pt>
                <c:pt idx="18">
                  <c:v>511.46647733989602</c:v>
                </c:pt>
                <c:pt idx="19">
                  <c:v>446.02632199001039</c:v>
                </c:pt>
                <c:pt idx="20">
                  <c:v>411.30660698923646</c:v>
                </c:pt>
                <c:pt idx="21">
                  <c:v>353.81213504450454</c:v>
                </c:pt>
                <c:pt idx="22">
                  <c:v>353.59585537166748</c:v>
                </c:pt>
                <c:pt idx="23">
                  <c:v>274.30466356105114</c:v>
                </c:pt>
                <c:pt idx="24">
                  <c:v>353.59585537166748</c:v>
                </c:pt>
                <c:pt idx="25">
                  <c:v>565.75336859466802</c:v>
                </c:pt>
                <c:pt idx="26">
                  <c:v>495.03419752033449</c:v>
                </c:pt>
                <c:pt idx="27">
                  <c:v>565.75336859466802</c:v>
                </c:pt>
                <c:pt idx="28">
                  <c:v>572.51583265185707</c:v>
                </c:pt>
                <c:pt idx="29">
                  <c:v>673.69341499545715</c:v>
                </c:pt>
                <c:pt idx="30">
                  <c:v>673.69341499545715</c:v>
                </c:pt>
                <c:pt idx="31">
                  <c:v>673.69341499545715</c:v>
                </c:pt>
                <c:pt idx="32">
                  <c:v>673.69341499545715</c:v>
                </c:pt>
                <c:pt idx="33">
                  <c:v>545.99989189174312</c:v>
                </c:pt>
                <c:pt idx="34">
                  <c:v>507.60927449310486</c:v>
                </c:pt>
                <c:pt idx="35">
                  <c:v>541.79007049700283</c:v>
                </c:pt>
                <c:pt idx="36">
                  <c:v>578.45266766377028</c:v>
                </c:pt>
                <c:pt idx="37">
                  <c:v>790.20766207640065</c:v>
                </c:pt>
                <c:pt idx="38">
                  <c:v>678.18588622648929</c:v>
                </c:pt>
                <c:pt idx="39">
                  <c:v>465.10721251343693</c:v>
                </c:pt>
                <c:pt idx="40">
                  <c:v>632.16612966112461</c:v>
                </c:pt>
                <c:pt idx="41">
                  <c:v>975.67923452354603</c:v>
                </c:pt>
                <c:pt idx="42">
                  <c:v>517.40565467157739</c:v>
                </c:pt>
                <c:pt idx="43">
                  <c:v>603.91419539057244</c:v>
                </c:pt>
                <c:pt idx="44">
                  <c:v>679.40346981439404</c:v>
                </c:pt>
                <c:pt idx="45">
                  <c:v>749.68658738140027</c:v>
                </c:pt>
                <c:pt idx="46">
                  <c:v>676.38389883744117</c:v>
                </c:pt>
                <c:pt idx="47">
                  <c:v>512.41204457381912</c:v>
                </c:pt>
                <c:pt idx="48">
                  <c:v>509.99729795453476</c:v>
                </c:pt>
                <c:pt idx="49">
                  <c:v>587.26961582643401</c:v>
                </c:pt>
                <c:pt idx="50">
                  <c:v>610.56883944942695</c:v>
                </c:pt>
                <c:pt idx="51">
                  <c:v>630.26460846392467</c:v>
                </c:pt>
                <c:pt idx="52">
                  <c:v>712.33031269099831</c:v>
                </c:pt>
                <c:pt idx="53">
                  <c:v>569.8642501527986</c:v>
                </c:pt>
                <c:pt idx="54">
                  <c:v>671.62572339436986</c:v>
                </c:pt>
                <c:pt idx="55">
                  <c:v>677.71202631928986</c:v>
                </c:pt>
                <c:pt idx="56">
                  <c:v>645.81969566897033</c:v>
                </c:pt>
                <c:pt idx="57">
                  <c:v>611.44569003850438</c:v>
                </c:pt>
                <c:pt idx="58">
                  <c:v>710.06596262536004</c:v>
                </c:pt>
                <c:pt idx="59">
                  <c:v>611.44569003850438</c:v>
                </c:pt>
                <c:pt idx="60">
                  <c:v>611.44569003850438</c:v>
                </c:pt>
                <c:pt idx="61">
                  <c:v>535.01497878369128</c:v>
                </c:pt>
                <c:pt idx="62">
                  <c:v>744.23353070545636</c:v>
                </c:pt>
                <c:pt idx="63">
                  <c:v>542.670282806062</c:v>
                </c:pt>
                <c:pt idx="64">
                  <c:v>445.2679243536918</c:v>
                </c:pt>
                <c:pt idx="65">
                  <c:v>451.0506246699735</c:v>
                </c:pt>
                <c:pt idx="66">
                  <c:v>902.101249339947</c:v>
                </c:pt>
                <c:pt idx="67">
                  <c:v>620.19460892121367</c:v>
                </c:pt>
                <c:pt idx="68">
                  <c:v>437.78442982673903</c:v>
                </c:pt>
                <c:pt idx="69">
                  <c:v>542.670282806062</c:v>
                </c:pt>
                <c:pt idx="70">
                  <c:v>496.15568713697087</c:v>
                </c:pt>
                <c:pt idx="71">
                  <c:v>542.670282806062</c:v>
                </c:pt>
                <c:pt idx="72">
                  <c:v>465.14595669091023</c:v>
                </c:pt>
                <c:pt idx="73">
                  <c:v>560.17577579980582</c:v>
                </c:pt>
                <c:pt idx="74">
                  <c:v>560.17577579980582</c:v>
                </c:pt>
                <c:pt idx="75">
                  <c:v>945.05845168946837</c:v>
                </c:pt>
                <c:pt idx="76">
                  <c:v>387.62163057575856</c:v>
                </c:pt>
                <c:pt idx="77">
                  <c:v>576.92521760112891</c:v>
                </c:pt>
                <c:pt idx="78">
                  <c:v>734.05607786325493</c:v>
                </c:pt>
                <c:pt idx="79">
                  <c:v>856.39875750713088</c:v>
                </c:pt>
                <c:pt idx="80">
                  <c:v>440.43364671795297</c:v>
                </c:pt>
                <c:pt idx="81">
                  <c:v>0</c:v>
                </c:pt>
                <c:pt idx="82">
                  <c:v>481.72430109776104</c:v>
                </c:pt>
                <c:pt idx="83">
                  <c:v>544.98102750453779</c:v>
                </c:pt>
                <c:pt idx="84">
                  <c:v>481.72430109776104</c:v>
                </c:pt>
                <c:pt idx="85">
                  <c:v>591.1243214884372</c:v>
                </c:pt>
                <c:pt idx="86">
                  <c:v>0</c:v>
                </c:pt>
                <c:pt idx="87">
                  <c:v>589.31852688433094</c:v>
                </c:pt>
                <c:pt idx="88">
                  <c:v>694.55397811367584</c:v>
                </c:pt>
                <c:pt idx="89">
                  <c:v>740.85757665458743</c:v>
                </c:pt>
                <c:pt idx="90">
                  <c:v>751.0574073134577</c:v>
                </c:pt>
                <c:pt idx="91">
                  <c:v>1012.2947663790081</c:v>
                </c:pt>
                <c:pt idx="92">
                  <c:v>679.08107244591804</c:v>
                </c:pt>
                <c:pt idx="93">
                  <c:v>363.7934316674561</c:v>
                </c:pt>
                <c:pt idx="94">
                  <c:v>873.10423600189461</c:v>
                </c:pt>
                <c:pt idx="95">
                  <c:v>1138.8316121763842</c:v>
                </c:pt>
                <c:pt idx="96">
                  <c:v>895.49152410450722</c:v>
                </c:pt>
                <c:pt idx="97">
                  <c:v>990.18114703173217</c:v>
                </c:pt>
                <c:pt idx="98">
                  <c:v>891.16303232855921</c:v>
                </c:pt>
                <c:pt idx="99">
                  <c:v>1145.9974816535473</c:v>
                </c:pt>
                <c:pt idx="100">
                  <c:v>627.2828320629942</c:v>
                </c:pt>
                <c:pt idx="101">
                  <c:v>483.17731658906314</c:v>
                </c:pt>
                <c:pt idx="102">
                  <c:v>838.01065845915639</c:v>
                </c:pt>
                <c:pt idx="103">
                  <c:v>924.70141623079326</c:v>
                </c:pt>
                <c:pt idx="104">
                  <c:v>869.5822815791646</c:v>
                </c:pt>
                <c:pt idx="105">
                  <c:v>852.1906359475812</c:v>
                </c:pt>
                <c:pt idx="106">
                  <c:v>212.33985945537742</c:v>
                </c:pt>
                <c:pt idx="107">
                  <c:v>443.84928955603203</c:v>
                </c:pt>
                <c:pt idx="108">
                  <c:v>665.77393433404802</c:v>
                </c:pt>
                <c:pt idx="109">
                  <c:v>951.10562047721146</c:v>
                </c:pt>
                <c:pt idx="110">
                  <c:v>855.99505842949031</c:v>
                </c:pt>
                <c:pt idx="111">
                  <c:v>570.66337228632688</c:v>
                </c:pt>
                <c:pt idx="112">
                  <c:v>665.77393433404802</c:v>
                </c:pt>
                <c:pt idx="113">
                  <c:v>956.97686025698272</c:v>
                </c:pt>
                <c:pt idx="114">
                  <c:v>861.2791742312844</c:v>
                </c:pt>
                <c:pt idx="115">
                  <c:v>669.88380217988788</c:v>
                </c:pt>
                <c:pt idx="116">
                  <c:v>669.88380217988788</c:v>
                </c:pt>
                <c:pt idx="117">
                  <c:v>855.40746723964844</c:v>
                </c:pt>
                <c:pt idx="118">
                  <c:v>855.40746723964844</c:v>
                </c:pt>
                <c:pt idx="119">
                  <c:v>855.40746723964844</c:v>
                </c:pt>
                <c:pt idx="120">
                  <c:v>847.0779075751343</c:v>
                </c:pt>
                <c:pt idx="121">
                  <c:v>638.53368672173201</c:v>
                </c:pt>
                <c:pt idx="122">
                  <c:v>1094.6291772372549</c:v>
                </c:pt>
                <c:pt idx="123">
                  <c:v>1003.4100791341504</c:v>
                </c:pt>
                <c:pt idx="124">
                  <c:v>1003.4100791341504</c:v>
                </c:pt>
                <c:pt idx="125">
                  <c:v>729.75278482483657</c:v>
                </c:pt>
                <c:pt idx="126">
                  <c:v>729.75278482483657</c:v>
                </c:pt>
                <c:pt idx="127">
                  <c:v>786.36802277992092</c:v>
                </c:pt>
                <c:pt idx="128">
                  <c:v>698.99379802659632</c:v>
                </c:pt>
                <c:pt idx="129">
                  <c:v>772.72670055845344</c:v>
                </c:pt>
                <c:pt idx="130">
                  <c:v>858.58522284272613</c:v>
                </c:pt>
                <c:pt idx="131">
                  <c:v>772.72670055845344</c:v>
                </c:pt>
                <c:pt idx="132">
                  <c:v>686.86817827418088</c:v>
                </c:pt>
                <c:pt idx="133">
                  <c:v>686.86817827418088</c:v>
                </c:pt>
                <c:pt idx="134">
                  <c:v>771.58313379378956</c:v>
                </c:pt>
                <c:pt idx="135">
                  <c:v>685.85167448336858</c:v>
                </c:pt>
                <c:pt idx="136">
                  <c:v>600.1202151729475</c:v>
                </c:pt>
                <c:pt idx="137">
                  <c:v>600.1202151729475</c:v>
                </c:pt>
                <c:pt idx="138">
                  <c:v>600.1202151729475</c:v>
                </c:pt>
                <c:pt idx="139">
                  <c:v>600.1202151729475</c:v>
                </c:pt>
                <c:pt idx="140">
                  <c:v>411.51100469002091</c:v>
                </c:pt>
                <c:pt idx="141">
                  <c:v>739.57649807382415</c:v>
                </c:pt>
                <c:pt idx="142">
                  <c:v>631.55620464584968</c:v>
                </c:pt>
                <c:pt idx="143">
                  <c:v>631.55620464584968</c:v>
                </c:pt>
                <c:pt idx="144">
                  <c:v>631.55620464584968</c:v>
                </c:pt>
                <c:pt idx="145">
                  <c:v>812.00083454466392</c:v>
                </c:pt>
                <c:pt idx="146">
                  <c:v>1082.6677793928852</c:v>
                </c:pt>
                <c:pt idx="147">
                  <c:v>1172.8900943422923</c:v>
                </c:pt>
                <c:pt idx="148">
                  <c:v>967.97550676253422</c:v>
                </c:pt>
                <c:pt idx="149">
                  <c:v>967.97550676253422</c:v>
                </c:pt>
                <c:pt idx="150">
                  <c:v>1143.9710534466312</c:v>
                </c:pt>
                <c:pt idx="151">
                  <c:v>879.97773342048561</c:v>
                </c:pt>
                <c:pt idx="152">
                  <c:v>967.97550676253422</c:v>
                </c:pt>
                <c:pt idx="153">
                  <c:v>967.97550676253422</c:v>
                </c:pt>
                <c:pt idx="154">
                  <c:v>967.97550676253422</c:v>
                </c:pt>
                <c:pt idx="155">
                  <c:v>768.75668812833715</c:v>
                </c:pt>
                <c:pt idx="156">
                  <c:v>768.75668812833715</c:v>
                </c:pt>
                <c:pt idx="157">
                  <c:v>597.92186854426222</c:v>
                </c:pt>
                <c:pt idx="158">
                  <c:v>854.17409792037461</c:v>
                </c:pt>
                <c:pt idx="159">
                  <c:v>854.17409792037461</c:v>
                </c:pt>
                <c:pt idx="160">
                  <c:v>854.49710088869847</c:v>
                </c:pt>
                <c:pt idx="161">
                  <c:v>769.04739079982858</c:v>
                </c:pt>
                <c:pt idx="162">
                  <c:v>857.83763629383668</c:v>
                </c:pt>
                <c:pt idx="163">
                  <c:v>857.83763629383668</c:v>
                </c:pt>
                <c:pt idx="164">
                  <c:v>857.83763629383668</c:v>
                </c:pt>
                <c:pt idx="165">
                  <c:v>857.83763629383668</c:v>
                </c:pt>
                <c:pt idx="166">
                  <c:v>772.05387266445302</c:v>
                </c:pt>
                <c:pt idx="167">
                  <c:v>600.48634540568571</c:v>
                </c:pt>
                <c:pt idx="168">
                  <c:v>428.91881814691834</c:v>
                </c:pt>
                <c:pt idx="169">
                  <c:v>514.70258177630205</c:v>
                </c:pt>
                <c:pt idx="170">
                  <c:v>535.22007195364063</c:v>
                </c:pt>
                <c:pt idx="171">
                  <c:v>624.42341727924736</c:v>
                </c:pt>
              </c:numCache>
            </c:numRef>
          </c:yVal>
          <c:smooth val="1"/>
        </c:ser>
        <c:ser>
          <c:idx val="1"/>
          <c:order val="1"/>
          <c:tx>
            <c:v>q2 [l/kg smo us] bez enzymów I</c:v>
          </c:tx>
          <c:spPr>
            <a:ln>
              <a:noFill/>
            </a:ln>
          </c:spPr>
          <c:marker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DANE!$CF$408:$CF$579</c:f>
              <c:numCache>
                <c:formatCode>#,##0</c:formatCode>
                <c:ptCount val="172"/>
                <c:pt idx="1">
                  <c:v>1395.561941762996</c:v>
                </c:pt>
                <c:pt idx="6">
                  <c:v>1397.6408520886303</c:v>
                </c:pt>
                <c:pt idx="8">
                  <c:v>1440.0520559535835</c:v>
                </c:pt>
                <c:pt idx="14">
                  <c:v>761.18918669640323</c:v>
                </c:pt>
                <c:pt idx="20">
                  <c:v>974.45775400784066</c:v>
                </c:pt>
                <c:pt idx="22">
                  <c:v>1011.9253104226402</c:v>
                </c:pt>
                <c:pt idx="28">
                  <c:v>989.80418869921152</c:v>
                </c:pt>
                <c:pt idx="29">
                  <c:v>1172.719957925897</c:v>
                </c:pt>
                <c:pt idx="35">
                  <c:v>1390.5003093456535</c:v>
                </c:pt>
                <c:pt idx="36">
                  <c:v>1506.813761152923</c:v>
                </c:pt>
                <c:pt idx="41">
                  <c:v>1477.5703440507809</c:v>
                </c:pt>
                <c:pt idx="43">
                  <c:v>1477.0113431586792</c:v>
                </c:pt>
                <c:pt idx="48">
                  <c:v>1473.2569514157665</c:v>
                </c:pt>
                <c:pt idx="50">
                  <c:v>1456.7254292509501</c:v>
                </c:pt>
                <c:pt idx="55">
                  <c:v>1415.2883126313191</c:v>
                </c:pt>
                <c:pt idx="57">
                  <c:v>1365.9226496032907</c:v>
                </c:pt>
                <c:pt idx="62">
                  <c:v>1232.9558497414491</c:v>
                </c:pt>
                <c:pt idx="78">
                  <c:v>1320.2636701709348</c:v>
                </c:pt>
                <c:pt idx="85">
                  <c:v>-19675.188091791508</c:v>
                </c:pt>
                <c:pt idx="86">
                  <c:v>-17229.074630548763</c:v>
                </c:pt>
                <c:pt idx="90">
                  <c:v>1335.5677768603648</c:v>
                </c:pt>
                <c:pt idx="97">
                  <c:v>1494.2548133046278</c:v>
                </c:pt>
                <c:pt idx="99">
                  <c:v>1464.5085485898474</c:v>
                </c:pt>
                <c:pt idx="104">
                  <c:v>1589.5734087562394</c:v>
                </c:pt>
                <c:pt idx="113">
                  <c:v>1235.935353315763</c:v>
                </c:pt>
                <c:pt idx="117">
                  <c:v>1455.6596024729199</c:v>
                </c:pt>
                <c:pt idx="120">
                  <c:v>1456.7136170260476</c:v>
                </c:pt>
                <c:pt idx="121">
                  <c:v>1409.7163563853746</c:v>
                </c:pt>
                <c:pt idx="127">
                  <c:v>1520.3399866966204</c:v>
                </c:pt>
                <c:pt idx="129">
                  <c:v>1305.6717517720292</c:v>
                </c:pt>
                <c:pt idx="134">
                  <c:v>1300.3870667107976</c:v>
                </c:pt>
                <c:pt idx="141">
                  <c:v>1075.4069903902778</c:v>
                </c:pt>
                <c:pt idx="142">
                  <c:v>1160.9724863871395</c:v>
                </c:pt>
                <c:pt idx="148">
                  <c:v>1563.5836751843174</c:v>
                </c:pt>
                <c:pt idx="155">
                  <c:v>1616.8103081431914</c:v>
                </c:pt>
                <c:pt idx="160">
                  <c:v>1295.4984830115225</c:v>
                </c:pt>
                <c:pt idx="162">
                  <c:v>1464.9226293405754</c:v>
                </c:pt>
                <c:pt idx="170">
                  <c:v>1189.8139899534801</c:v>
                </c:pt>
              </c:numCache>
            </c:numRef>
          </c:yVal>
          <c:smooth val="1"/>
        </c:ser>
        <c:ser>
          <c:idx val="2"/>
          <c:order val="2"/>
          <c:tx>
            <c:v>q3 [l/kg sm] bez enzymów I</c:v>
          </c:tx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DANE!$CG$408:$CG$579</c:f>
              <c:numCache>
                <c:formatCode>#,##0</c:formatCode>
                <c:ptCount val="172"/>
                <c:pt idx="0">
                  <c:v>615.78227338729607</c:v>
                </c:pt>
                <c:pt idx="1">
                  <c:v>607.22765735437486</c:v>
                </c:pt>
                <c:pt idx="2">
                  <c:v>607.22765735437486</c:v>
                </c:pt>
                <c:pt idx="3">
                  <c:v>607.22765735437486</c:v>
                </c:pt>
                <c:pt idx="4">
                  <c:v>607.22765735437486</c:v>
                </c:pt>
                <c:pt idx="5">
                  <c:v>513.80801776139413</c:v>
                </c:pt>
                <c:pt idx="6">
                  <c:v>608.26307959335497</c:v>
                </c:pt>
                <c:pt idx="7">
                  <c:v>570.2466371187702</c:v>
                </c:pt>
                <c:pt idx="8">
                  <c:v>408.81177137185767</c:v>
                </c:pt>
                <c:pt idx="9">
                  <c:v>386.10000629564337</c:v>
                </c:pt>
                <c:pt idx="11">
                  <c:v>289.57500472173257</c:v>
                </c:pt>
                <c:pt idx="12">
                  <c:v>298.91613390630459</c:v>
                </c:pt>
                <c:pt idx="13">
                  <c:v>327.60000534175805</c:v>
                </c:pt>
                <c:pt idx="14">
                  <c:v>388.89417322585001</c:v>
                </c:pt>
                <c:pt idx="15">
                  <c:v>431.89689430370839</c:v>
                </c:pt>
                <c:pt idx="16">
                  <c:v>431.89689430370839</c:v>
                </c:pt>
                <c:pt idx="17">
                  <c:v>267.36474409277184</c:v>
                </c:pt>
                <c:pt idx="18">
                  <c:v>390.2080048921535</c:v>
                </c:pt>
                <c:pt idx="19">
                  <c:v>340.28240157261877</c:v>
                </c:pt>
                <c:pt idx="20">
                  <c:v>312.98376258845951</c:v>
                </c:pt>
                <c:pt idx="21">
                  <c:v>269.23334416211571</c:v>
                </c:pt>
                <c:pt idx="22">
                  <c:v>266.77392904370822</c:v>
                </c:pt>
                <c:pt idx="23">
                  <c:v>206.95189647027064</c:v>
                </c:pt>
                <c:pt idx="24">
                  <c:v>266.77392904370822</c:v>
                </c:pt>
                <c:pt idx="25">
                  <c:v>426.83828646993317</c:v>
                </c:pt>
                <c:pt idx="26">
                  <c:v>373.48350066119156</c:v>
                </c:pt>
                <c:pt idx="27">
                  <c:v>426.83828646993317</c:v>
                </c:pt>
                <c:pt idx="28">
                  <c:v>433.10822740112985</c:v>
                </c:pt>
                <c:pt idx="29">
                  <c:v>510.90213819595482</c:v>
                </c:pt>
                <c:pt idx="30">
                  <c:v>510.90213819595482</c:v>
                </c:pt>
                <c:pt idx="31">
                  <c:v>510.90213819595482</c:v>
                </c:pt>
                <c:pt idx="32">
                  <c:v>510.90213819595482</c:v>
                </c:pt>
                <c:pt idx="33">
                  <c:v>414.06447801502225</c:v>
                </c:pt>
                <c:pt idx="34">
                  <c:v>384.95056940459102</c:v>
                </c:pt>
                <c:pt idx="35">
                  <c:v>411.29451411709482</c:v>
                </c:pt>
                <c:pt idx="36">
                  <c:v>437.94073016156386</c:v>
                </c:pt>
                <c:pt idx="37">
                  <c:v>598.25831888142204</c:v>
                </c:pt>
                <c:pt idx="38">
                  <c:v>513.44775260321273</c:v>
                </c:pt>
                <c:pt idx="39">
                  <c:v>352.12801952179791</c:v>
                </c:pt>
                <c:pt idx="40">
                  <c:v>478.60665510514076</c:v>
                </c:pt>
                <c:pt idx="41">
                  <c:v>740.90154032014493</c:v>
                </c:pt>
                <c:pt idx="42">
                  <c:v>392.90233198795568</c:v>
                </c:pt>
                <c:pt idx="43">
                  <c:v>457.80923409973121</c:v>
                </c:pt>
                <c:pt idx="44">
                  <c:v>515.03538836219764</c:v>
                </c:pt>
                <c:pt idx="45">
                  <c:v>568.31491129621804</c:v>
                </c:pt>
                <c:pt idx="46">
                  <c:v>512.746342191699</c:v>
                </c:pt>
                <c:pt idx="47">
                  <c:v>388.44419863007494</c:v>
                </c:pt>
                <c:pt idx="48">
                  <c:v>388.18954331107381</c:v>
                </c:pt>
                <c:pt idx="49">
                  <c:v>447.0061407824486</c:v>
                </c:pt>
                <c:pt idx="50">
                  <c:v>464.04452935835349</c:v>
                </c:pt>
                <c:pt idx="51">
                  <c:v>479.01370772475201</c:v>
                </c:pt>
                <c:pt idx="52">
                  <c:v>541.38528425141249</c:v>
                </c:pt>
                <c:pt idx="53">
                  <c:v>433.10822740112997</c:v>
                </c:pt>
                <c:pt idx="54">
                  <c:v>510.44898229418891</c:v>
                </c:pt>
                <c:pt idx="55">
                  <c:v>517.79909658899021</c:v>
                </c:pt>
                <c:pt idx="56">
                  <c:v>493.43208027892007</c:v>
                </c:pt>
                <c:pt idx="57">
                  <c:v>471.75480769230768</c:v>
                </c:pt>
                <c:pt idx="58">
                  <c:v>547.84429280397023</c:v>
                </c:pt>
                <c:pt idx="59">
                  <c:v>471.75480769230768</c:v>
                </c:pt>
                <c:pt idx="60">
                  <c:v>471.75480769230768</c:v>
                </c:pt>
                <c:pt idx="61">
                  <c:v>412.78545673076923</c:v>
                </c:pt>
                <c:pt idx="62">
                  <c:v>574.77155576382381</c:v>
                </c:pt>
                <c:pt idx="63">
                  <c:v>419.10425941112157</c:v>
                </c:pt>
                <c:pt idx="64">
                  <c:v>343.88041797835615</c:v>
                </c:pt>
                <c:pt idx="65">
                  <c:v>348.34639743262056</c:v>
                </c:pt>
                <c:pt idx="66">
                  <c:v>696.69279486524101</c:v>
                </c:pt>
                <c:pt idx="67">
                  <c:v>478.9762964698532</c:v>
                </c:pt>
                <c:pt idx="68">
                  <c:v>338.10091515519053</c:v>
                </c:pt>
                <c:pt idx="69">
                  <c:v>419.10425941112157</c:v>
                </c:pt>
                <c:pt idx="70">
                  <c:v>383.18103717588252</c:v>
                </c:pt>
                <c:pt idx="71">
                  <c:v>419.10425941112157</c:v>
                </c:pt>
                <c:pt idx="72">
                  <c:v>359.2322223523899</c:v>
                </c:pt>
                <c:pt idx="73">
                  <c:v>432.62375165019</c:v>
                </c:pt>
                <c:pt idx="74">
                  <c:v>432.62375165019</c:v>
                </c:pt>
                <c:pt idx="75">
                  <c:v>729.86864223977636</c:v>
                </c:pt>
                <c:pt idx="76">
                  <c:v>299.36018529365828</c:v>
                </c:pt>
                <c:pt idx="77">
                  <c:v>445.55934555335182</c:v>
                </c:pt>
                <c:pt idx="78">
                  <c:v>567.43268874907483</c:v>
                </c:pt>
                <c:pt idx="79">
                  <c:v>662.0048035405872</c:v>
                </c:pt>
                <c:pt idx="80">
                  <c:v>340.45961324944489</c:v>
                </c:pt>
                <c:pt idx="81">
                  <c:v>0</c:v>
                </c:pt>
                <c:pt idx="82">
                  <c:v>372.3777019915803</c:v>
                </c:pt>
                <c:pt idx="83">
                  <c:v>421.27578407128277</c:v>
                </c:pt>
                <c:pt idx="84">
                  <c:v>372.3777019915803</c:v>
                </c:pt>
                <c:pt idx="85">
                  <c:v>458.49375747607655</c:v>
                </c:pt>
                <c:pt idx="86">
                  <c:v>0</c:v>
                </c:pt>
                <c:pt idx="87">
                  <c:v>460.65850609494379</c:v>
                </c:pt>
                <c:pt idx="88">
                  <c:v>542.91895361189802</c:v>
                </c:pt>
                <c:pt idx="89">
                  <c:v>579.11355051935789</c:v>
                </c:pt>
                <c:pt idx="90">
                  <c:v>592.75703757400026</c:v>
                </c:pt>
                <c:pt idx="91">
                  <c:v>798.93339846930473</c:v>
                </c:pt>
                <c:pt idx="92">
                  <c:v>535.9511548064919</c:v>
                </c:pt>
                <c:pt idx="93">
                  <c:v>287.11669007490633</c:v>
                </c:pt>
                <c:pt idx="94">
                  <c:v>689.08005617977528</c:v>
                </c:pt>
                <c:pt idx="95">
                  <c:v>898.80007327796784</c:v>
                </c:pt>
                <c:pt idx="96">
                  <c:v>706.74877556900026</c:v>
                </c:pt>
                <c:pt idx="97">
                  <c:v>779.75979494545709</c:v>
                </c:pt>
                <c:pt idx="98">
                  <c:v>701.78381545091145</c:v>
                </c:pt>
                <c:pt idx="99">
                  <c:v>902.13158259041131</c:v>
                </c:pt>
                <c:pt idx="100">
                  <c:v>493.79833994422512</c:v>
                </c:pt>
                <c:pt idx="101">
                  <c:v>380.35818076784909</c:v>
                </c:pt>
                <c:pt idx="102">
                  <c:v>659.68371976923822</c:v>
                </c:pt>
                <c:pt idx="103">
                  <c:v>727.92686319364213</c:v>
                </c:pt>
                <c:pt idx="104">
                  <c:v>687.51989738030579</c:v>
                </c:pt>
                <c:pt idx="105">
                  <c:v>673.76949943269972</c:v>
                </c:pt>
                <c:pt idx="106">
                  <c:v>167.88276563937703</c:v>
                </c:pt>
                <c:pt idx="107">
                  <c:v>350.92161428786443</c:v>
                </c:pt>
                <c:pt idx="108">
                  <c:v>526.38242143179662</c:v>
                </c:pt>
                <c:pt idx="109">
                  <c:v>751.97488775970953</c:v>
                </c:pt>
                <c:pt idx="110">
                  <c:v>676.77739898373852</c:v>
                </c:pt>
                <c:pt idx="111">
                  <c:v>451.18493265582572</c:v>
                </c:pt>
                <c:pt idx="112">
                  <c:v>526.38242143179662</c:v>
                </c:pt>
                <c:pt idx="113">
                  <c:v>753.50157392357096</c:v>
                </c:pt>
                <c:pt idx="114">
                  <c:v>678.15141653121384</c:v>
                </c:pt>
                <c:pt idx="115">
                  <c:v>527.45110174649972</c:v>
                </c:pt>
                <c:pt idx="116">
                  <c:v>527.45110174649972</c:v>
                </c:pt>
                <c:pt idx="117">
                  <c:v>675.4956066415341</c:v>
                </c:pt>
                <c:pt idx="118">
                  <c:v>675.4956066415341</c:v>
                </c:pt>
                <c:pt idx="119">
                  <c:v>675.4956066415341</c:v>
                </c:pt>
                <c:pt idx="120">
                  <c:v>667.39320468044821</c:v>
                </c:pt>
                <c:pt idx="121">
                  <c:v>500.73738002238417</c:v>
                </c:pt>
                <c:pt idx="122">
                  <c:v>858.40693718123009</c:v>
                </c:pt>
                <c:pt idx="123">
                  <c:v>786.87302574946091</c:v>
                </c:pt>
                <c:pt idx="124">
                  <c:v>786.87302574946091</c:v>
                </c:pt>
                <c:pt idx="125">
                  <c:v>572.27129145415336</c:v>
                </c:pt>
                <c:pt idx="126">
                  <c:v>572.27129145415336</c:v>
                </c:pt>
                <c:pt idx="127">
                  <c:v>610.51046333963109</c:v>
                </c:pt>
                <c:pt idx="128">
                  <c:v>542.67596741300542</c:v>
                </c:pt>
                <c:pt idx="129">
                  <c:v>592.76055538720686</c:v>
                </c:pt>
                <c:pt idx="130">
                  <c:v>658.62283931911873</c:v>
                </c:pt>
                <c:pt idx="131">
                  <c:v>592.76055538720686</c:v>
                </c:pt>
                <c:pt idx="132">
                  <c:v>526.898271455295</c:v>
                </c:pt>
                <c:pt idx="133">
                  <c:v>526.898271455295</c:v>
                </c:pt>
                <c:pt idx="134">
                  <c:v>583.1412855993035</c:v>
                </c:pt>
                <c:pt idx="135">
                  <c:v>518.34780942160319</c:v>
                </c:pt>
                <c:pt idx="136">
                  <c:v>453.55433324390276</c:v>
                </c:pt>
                <c:pt idx="137">
                  <c:v>453.55433324390276</c:v>
                </c:pt>
                <c:pt idx="138">
                  <c:v>453.55433324390276</c:v>
                </c:pt>
                <c:pt idx="139">
                  <c:v>453.55433324390276</c:v>
                </c:pt>
                <c:pt idx="140">
                  <c:v>311.00868565296173</c:v>
                </c:pt>
                <c:pt idx="141">
                  <c:v>559.71918495175623</c:v>
                </c:pt>
                <c:pt idx="142">
                  <c:v>475.60100879009434</c:v>
                </c:pt>
                <c:pt idx="143">
                  <c:v>475.60100879009434</c:v>
                </c:pt>
                <c:pt idx="144">
                  <c:v>475.60100879009434</c:v>
                </c:pt>
                <c:pt idx="145">
                  <c:v>611.48701130154984</c:v>
                </c:pt>
                <c:pt idx="146">
                  <c:v>815.31601506873312</c:v>
                </c:pt>
                <c:pt idx="147">
                  <c:v>883.25901632446096</c:v>
                </c:pt>
                <c:pt idx="148">
                  <c:v>727.75471417226095</c:v>
                </c:pt>
                <c:pt idx="149">
                  <c:v>727.75471417226095</c:v>
                </c:pt>
                <c:pt idx="150">
                  <c:v>860.07375311267197</c:v>
                </c:pt>
                <c:pt idx="151">
                  <c:v>661.59519470205544</c:v>
                </c:pt>
                <c:pt idx="152">
                  <c:v>727.75471417226095</c:v>
                </c:pt>
                <c:pt idx="153">
                  <c:v>727.75471417226095</c:v>
                </c:pt>
                <c:pt idx="154">
                  <c:v>727.75471417226095</c:v>
                </c:pt>
                <c:pt idx="155">
                  <c:v>581.74671195326187</c:v>
                </c:pt>
                <c:pt idx="156">
                  <c:v>581.74671195326187</c:v>
                </c:pt>
                <c:pt idx="157">
                  <c:v>452.46966485253699</c:v>
                </c:pt>
                <c:pt idx="158">
                  <c:v>646.38523550362436</c:v>
                </c:pt>
                <c:pt idx="159">
                  <c:v>646.38523550362436</c:v>
                </c:pt>
                <c:pt idx="160">
                  <c:v>640.02694164225557</c:v>
                </c:pt>
                <c:pt idx="161">
                  <c:v>576.02424747803002</c:v>
                </c:pt>
                <c:pt idx="162">
                  <c:v>644.33049536852445</c:v>
                </c:pt>
                <c:pt idx="163">
                  <c:v>644.33049536852445</c:v>
                </c:pt>
                <c:pt idx="164">
                  <c:v>644.33049536852445</c:v>
                </c:pt>
                <c:pt idx="165">
                  <c:v>644.33049536852445</c:v>
                </c:pt>
                <c:pt idx="166">
                  <c:v>579.89744583167203</c:v>
                </c:pt>
                <c:pt idx="167">
                  <c:v>451.03134675796707</c:v>
                </c:pt>
                <c:pt idx="168">
                  <c:v>322.16524768426223</c:v>
                </c:pt>
                <c:pt idx="169">
                  <c:v>386.59829722111465</c:v>
                </c:pt>
                <c:pt idx="170">
                  <c:v>404.5076834085574</c:v>
                </c:pt>
                <c:pt idx="171">
                  <c:v>471.92563064331699</c:v>
                </c:pt>
              </c:numCache>
            </c:numRef>
          </c:yVal>
          <c:smooth val="1"/>
        </c:ser>
        <c:ser>
          <c:idx val="12"/>
          <c:order val="4"/>
          <c:tx>
            <c:v>q1 [[l/kg smo wpr] - enzymy 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DANE!$CE$580:$CE$627</c:f>
              <c:numCache>
                <c:formatCode>0</c:formatCode>
                <c:ptCount val="48"/>
                <c:pt idx="0">
                  <c:v>624.42341727924736</c:v>
                </c:pt>
                <c:pt idx="1">
                  <c:v>713.62676260485409</c:v>
                </c:pt>
                <c:pt idx="2">
                  <c:v>713.62676260485409</c:v>
                </c:pt>
                <c:pt idx="3">
                  <c:v>537.16552618612445</c:v>
                </c:pt>
                <c:pt idx="4">
                  <c:v>805.74828927918668</c:v>
                </c:pt>
                <c:pt idx="5">
                  <c:v>984.8034646745615</c:v>
                </c:pt>
                <c:pt idx="6">
                  <c:v>805.74828927918668</c:v>
                </c:pt>
                <c:pt idx="7">
                  <c:v>537.16552618612445</c:v>
                </c:pt>
                <c:pt idx="8">
                  <c:v>716.22070158149927</c:v>
                </c:pt>
                <c:pt idx="9">
                  <c:v>805.74828927918668</c:v>
                </c:pt>
                <c:pt idx="10">
                  <c:v>1023.1724308307134</c:v>
                </c:pt>
                <c:pt idx="11">
                  <c:v>691.79036678257</c:v>
                </c:pt>
                <c:pt idx="12">
                  <c:v>807.08876124633173</c:v>
                </c:pt>
                <c:pt idx="13">
                  <c:v>896.76529027370202</c:v>
                </c:pt>
                <c:pt idx="14">
                  <c:v>807.08876124633173</c:v>
                </c:pt>
                <c:pt idx="15">
                  <c:v>896.76529027370202</c:v>
                </c:pt>
                <c:pt idx="16">
                  <c:v>896.76529027370202</c:v>
                </c:pt>
                <c:pt idx="17">
                  <c:v>896.76529027370202</c:v>
                </c:pt>
                <c:pt idx="18">
                  <c:v>959.34802070286867</c:v>
                </c:pt>
                <c:pt idx="19">
                  <c:v>784.92110784780164</c:v>
                </c:pt>
                <c:pt idx="20">
                  <c:v>872.13456427533515</c:v>
                </c:pt>
                <c:pt idx="21">
                  <c:v>1456.0855333988204</c:v>
                </c:pt>
                <c:pt idx="22">
                  <c:v>872.13456427533515</c:v>
                </c:pt>
                <c:pt idx="23">
                  <c:v>1089.1046266072478</c:v>
                </c:pt>
                <c:pt idx="24">
                  <c:v>1155.4809100063078</c:v>
                </c:pt>
                <c:pt idx="25">
                  <c:v>1238.0152607210439</c:v>
                </c:pt>
                <c:pt idx="26">
                  <c:v>1238.0152607210439</c:v>
                </c:pt>
                <c:pt idx="27">
                  <c:v>742.80915643262642</c:v>
                </c:pt>
                <c:pt idx="28">
                  <c:v>825.34350714736263</c:v>
                </c:pt>
                <c:pt idx="29">
                  <c:v>825.34350714736263</c:v>
                </c:pt>
                <c:pt idx="30">
                  <c:v>907.87785786209895</c:v>
                </c:pt>
                <c:pt idx="31">
                  <c:v>907.87785786209895</c:v>
                </c:pt>
                <c:pt idx="32">
                  <c:v>642.71813219516582</c:v>
                </c:pt>
                <c:pt idx="33">
                  <c:v>883.73743176835296</c:v>
                </c:pt>
                <c:pt idx="34">
                  <c:v>723.05789871956154</c:v>
                </c:pt>
                <c:pt idx="35">
                  <c:v>812.24960791189653</c:v>
                </c:pt>
                <c:pt idx="36">
                  <c:v>812.24960791189653</c:v>
                </c:pt>
                <c:pt idx="37">
                  <c:v>812.24960791189653</c:v>
                </c:pt>
                <c:pt idx="38">
                  <c:v>974.69952949427591</c:v>
                </c:pt>
                <c:pt idx="39">
                  <c:v>823.40923472387101</c:v>
                </c:pt>
                <c:pt idx="40">
                  <c:v>1077.9175436385219</c:v>
                </c:pt>
                <c:pt idx="41">
                  <c:v>576.38646430670963</c:v>
                </c:pt>
                <c:pt idx="42">
                  <c:v>1129.2469504784515</c:v>
                </c:pt>
                <c:pt idx="43">
                  <c:v>9222.183428907354</c:v>
                </c:pt>
                <c:pt idx="45">
                  <c:v>195.17848526788052</c:v>
                </c:pt>
                <c:pt idx="46">
                  <c:v>345.8169274864855</c:v>
                </c:pt>
                <c:pt idx="47">
                  <c:v>763.02831742179376</c:v>
                </c:pt>
              </c:numCache>
            </c:numRef>
          </c:yVal>
          <c:smooth val="1"/>
        </c:ser>
        <c:ser>
          <c:idx val="13"/>
          <c:order val="5"/>
          <c:tx>
            <c:v>q2 [l/kg smo us] - enzymy 20%</c:v>
          </c:tx>
          <c:spPr>
            <a:ln>
              <a:noFill/>
            </a:ln>
          </c:spPr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DANE!$CF$580:$CF$627</c:f>
              <c:numCache>
                <c:formatCode>General</c:formatCode>
                <c:ptCount val="48"/>
                <c:pt idx="3" formatCode="#,##0">
                  <c:v>1133.4633880417418</c:v>
                </c:pt>
                <c:pt idx="11" formatCode="#,##0">
                  <c:v>1380.3701069953734</c:v>
                </c:pt>
                <c:pt idx="18" formatCode="#,##0">
                  <c:v>1553.2805603043194</c:v>
                </c:pt>
                <c:pt idx="24" formatCode="#,##0">
                  <c:v>1909.3834252346539</c:v>
                </c:pt>
                <c:pt idx="32" formatCode="#,##0">
                  <c:v>1619.5523105213479</c:v>
                </c:pt>
                <c:pt idx="35" formatCode="#,##0">
                  <c:v>1521.7376953785863</c:v>
                </c:pt>
                <c:pt idx="39" formatCode="#,##0">
                  <c:v>1941.6947604351756</c:v>
                </c:pt>
                <c:pt idx="46" formatCode="#,##0">
                  <c:v>1520.2093995052517</c:v>
                </c:pt>
              </c:numCache>
            </c:numRef>
          </c:yVal>
          <c:smooth val="1"/>
        </c:ser>
        <c:ser>
          <c:idx val="14"/>
          <c:order val="6"/>
          <c:tx>
            <c:v>q3 [l/kg sm] - enzymy 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DANE!$CG$580:$CG$627</c:f>
              <c:numCache>
                <c:formatCode>#,##0</c:formatCode>
                <c:ptCount val="48"/>
                <c:pt idx="0">
                  <c:v>471.92563064331699</c:v>
                </c:pt>
                <c:pt idx="1">
                  <c:v>539.34357787807653</c:v>
                </c:pt>
                <c:pt idx="2">
                  <c:v>539.34357787807653</c:v>
                </c:pt>
                <c:pt idx="3">
                  <c:v>409.71211552185247</c:v>
                </c:pt>
                <c:pt idx="4">
                  <c:v>614.56817328277873</c:v>
                </c:pt>
                <c:pt idx="5">
                  <c:v>751.13887845672957</c:v>
                </c:pt>
                <c:pt idx="6">
                  <c:v>614.56817328277873</c:v>
                </c:pt>
                <c:pt idx="7">
                  <c:v>409.71211552185247</c:v>
                </c:pt>
                <c:pt idx="8">
                  <c:v>546.28282069580325</c:v>
                </c:pt>
                <c:pt idx="9">
                  <c:v>614.56817328277873</c:v>
                </c:pt>
                <c:pt idx="10">
                  <c:v>780.40402956543335</c:v>
                </c:pt>
                <c:pt idx="11">
                  <c:v>531.04915414482696</c:v>
                </c:pt>
                <c:pt idx="12">
                  <c:v>619.55734650229817</c:v>
                </c:pt>
                <c:pt idx="13">
                  <c:v>688.39705166922022</c:v>
                </c:pt>
                <c:pt idx="14">
                  <c:v>619.55734650229817</c:v>
                </c:pt>
                <c:pt idx="15">
                  <c:v>688.39705166922022</c:v>
                </c:pt>
                <c:pt idx="16">
                  <c:v>688.39705166922022</c:v>
                </c:pt>
                <c:pt idx="17">
                  <c:v>688.39705166922022</c:v>
                </c:pt>
                <c:pt idx="18">
                  <c:v>739.18208341018885</c:v>
                </c:pt>
                <c:pt idx="19">
                  <c:v>604.78534097197269</c:v>
                </c:pt>
                <c:pt idx="20">
                  <c:v>671.98371219108083</c:v>
                </c:pt>
                <c:pt idx="21">
                  <c:v>1121.9206325277175</c:v>
                </c:pt>
                <c:pt idx="22">
                  <c:v>671.98371219108083</c:v>
                </c:pt>
                <c:pt idx="23">
                  <c:v>839.16014790691077</c:v>
                </c:pt>
                <c:pt idx="24">
                  <c:v>893.76982374225804</c:v>
                </c:pt>
                <c:pt idx="25">
                  <c:v>957.61052543813355</c:v>
                </c:pt>
                <c:pt idx="26">
                  <c:v>957.61052543813355</c:v>
                </c:pt>
                <c:pt idx="27">
                  <c:v>574.56631526288015</c:v>
                </c:pt>
                <c:pt idx="28">
                  <c:v>638.40701695875566</c:v>
                </c:pt>
                <c:pt idx="29">
                  <c:v>638.40701695875566</c:v>
                </c:pt>
                <c:pt idx="30">
                  <c:v>702.24771865463129</c:v>
                </c:pt>
                <c:pt idx="31">
                  <c:v>702.24771865463129</c:v>
                </c:pt>
                <c:pt idx="32">
                  <c:v>498.20487095471918</c:v>
                </c:pt>
                <c:pt idx="33">
                  <c:v>685.03169756273883</c:v>
                </c:pt>
                <c:pt idx="34">
                  <c:v>560.4804798240591</c:v>
                </c:pt>
                <c:pt idx="35">
                  <c:v>628.88667372191765</c:v>
                </c:pt>
                <c:pt idx="36">
                  <c:v>628.88667372191765</c:v>
                </c:pt>
                <c:pt idx="37">
                  <c:v>628.88667372191765</c:v>
                </c:pt>
                <c:pt idx="38">
                  <c:v>754.6640084663012</c:v>
                </c:pt>
                <c:pt idx="39">
                  <c:v>635.13916117765848</c:v>
                </c:pt>
                <c:pt idx="40">
                  <c:v>831.45490190529824</c:v>
                </c:pt>
                <c:pt idx="41">
                  <c:v>444.5974128243609</c:v>
                </c:pt>
                <c:pt idx="42">
                  <c:v>871.04799247221729</c:v>
                </c:pt>
                <c:pt idx="43">
                  <c:v>7113.5586051897744</c:v>
                </c:pt>
                <c:pt idx="45">
                  <c:v>150.55150487174126</c:v>
                </c:pt>
                <c:pt idx="46">
                  <c:v>267.37873199400082</c:v>
                </c:pt>
                <c:pt idx="47">
                  <c:v>589.95823446418251</c:v>
                </c:pt>
              </c:numCache>
            </c:numRef>
          </c:yVal>
          <c:smooth val="1"/>
        </c:ser>
        <c:ser>
          <c:idx val="16"/>
          <c:order val="8"/>
          <c:tx>
            <c:v>q1 [l/kg smo wpr]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DANE!$CE$628:$CE$714</c:f>
              <c:numCache>
                <c:formatCode>0</c:formatCode>
                <c:ptCount val="87"/>
                <c:pt idx="0">
                  <c:v>796.42686330220909</c:v>
                </c:pt>
                <c:pt idx="1">
                  <c:v>1244.9409389513478</c:v>
                </c:pt>
                <c:pt idx="2">
                  <c:v>2628.2086488972895</c:v>
                </c:pt>
                <c:pt idx="3">
                  <c:v>7884.6259466918682</c:v>
                </c:pt>
                <c:pt idx="4">
                  <c:v>5256.4172977945791</c:v>
                </c:pt>
                <c:pt idx="5">
                  <c:v>5226.9901591508205</c:v>
                </c:pt>
                <c:pt idx="6">
                  <c:v>2613.4950795754103</c:v>
                </c:pt>
                <c:pt idx="7">
                  <c:v>2613.4950795754103</c:v>
                </c:pt>
                <c:pt idx="8">
                  <c:v>653.37376989385257</c:v>
                </c:pt>
                <c:pt idx="9">
                  <c:v>653.37376989385257</c:v>
                </c:pt>
                <c:pt idx="10">
                  <c:v>2613.4950795754103</c:v>
                </c:pt>
                <c:pt idx="11">
                  <c:v>2613.4950795754103</c:v>
                </c:pt>
                <c:pt idx="44">
                  <c:v>0</c:v>
                </c:pt>
                <c:pt idx="45">
                  <c:v>54.447814157821043</c:v>
                </c:pt>
                <c:pt idx="46">
                  <c:v>81.671721236731571</c:v>
                </c:pt>
                <c:pt idx="47">
                  <c:v>163.34344247346314</c:v>
                </c:pt>
                <c:pt idx="48">
                  <c:v>408.35860618365786</c:v>
                </c:pt>
                <c:pt idx="49">
                  <c:v>490.03032742038943</c:v>
                </c:pt>
                <c:pt idx="50">
                  <c:v>735.0454911305842</c:v>
                </c:pt>
                <c:pt idx="51">
                  <c:v>898.38893360404734</c:v>
                </c:pt>
                <c:pt idx="52">
                  <c:v>816.71721236731571</c:v>
                </c:pt>
                <c:pt idx="53">
                  <c:v>634.18815023593811</c:v>
                </c:pt>
                <c:pt idx="54">
                  <c:v>634.18815023593811</c:v>
                </c:pt>
                <c:pt idx="55">
                  <c:v>724.78645741250068</c:v>
                </c:pt>
                <c:pt idx="56">
                  <c:v>317.09407511796906</c:v>
                </c:pt>
                <c:pt idx="57">
                  <c:v>353.96547920145383</c:v>
                </c:pt>
                <c:pt idx="58">
                  <c:v>563.72280020972278</c:v>
                </c:pt>
                <c:pt idx="59">
                  <c:v>475.64111267695358</c:v>
                </c:pt>
                <c:pt idx="60">
                  <c:v>342.80440553293948</c:v>
                </c:pt>
                <c:pt idx="61">
                  <c:v>475.64111267695358</c:v>
                </c:pt>
                <c:pt idx="62">
                  <c:v>475.64111267695358</c:v>
                </c:pt>
                <c:pt idx="63">
                  <c:v>554.91463145644582</c:v>
                </c:pt>
                <c:pt idx="64">
                  <c:v>634.18815023593811</c:v>
                </c:pt>
                <c:pt idx="65">
                  <c:v>396.36759389746129</c:v>
                </c:pt>
                <c:pt idx="66">
                  <c:v>596.88296492794177</c:v>
                </c:pt>
                <c:pt idx="67">
                  <c:v>316.09872364823991</c:v>
                </c:pt>
                <c:pt idx="68">
                  <c:v>66.547099715418938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629.25176035817208</c:v>
                </c:pt>
                <c:pt idx="76">
                  <c:v>629.25176035817208</c:v>
                </c:pt>
                <c:pt idx="77">
                  <c:v>629.25176035817208</c:v>
                </c:pt>
                <c:pt idx="78">
                  <c:v>393.28235022385752</c:v>
                </c:pt>
                <c:pt idx="79">
                  <c:v>393.28235022385752</c:v>
                </c:pt>
                <c:pt idx="80">
                  <c:v>393.28235022385752</c:v>
                </c:pt>
                <c:pt idx="81">
                  <c:v>321.32478733254931</c:v>
                </c:pt>
                <c:pt idx="82">
                  <c:v>321.32478733254931</c:v>
                </c:pt>
                <c:pt idx="83">
                  <c:v>321.32478733254931</c:v>
                </c:pt>
                <c:pt idx="84">
                  <c:v>240.99359049941197</c:v>
                </c:pt>
                <c:pt idx="85">
                  <c:v>321.32478733254931</c:v>
                </c:pt>
                <c:pt idx="86">
                  <c:v>321.32478733254931</c:v>
                </c:pt>
              </c:numCache>
            </c:numRef>
          </c:yVal>
          <c:smooth val="1"/>
        </c:ser>
        <c:ser>
          <c:idx val="17"/>
          <c:order val="9"/>
          <c:tx>
            <c:v>q2 [l/kg smo us]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DANE!$CF$628:$CF$714</c:f>
              <c:numCache>
                <c:formatCode>General</c:formatCode>
                <c:ptCount val="87"/>
                <c:pt idx="5" formatCode="#,##0">
                  <c:v>2123.0643798620958</c:v>
                </c:pt>
                <c:pt idx="53" formatCode="#,##0">
                  <c:v>1278.4923764013788</c:v>
                </c:pt>
                <c:pt idx="67" formatCode="#,##0">
                  <c:v>1028.2626831838995</c:v>
                </c:pt>
                <c:pt idx="74" formatCode="#,##0">
                  <c:v>0</c:v>
                </c:pt>
                <c:pt idx="81" formatCode="#,##0">
                  <c:v>810.39329727332256</c:v>
                </c:pt>
              </c:numCache>
            </c:numRef>
          </c:yVal>
          <c:smooth val="1"/>
        </c:ser>
        <c:ser>
          <c:idx val="18"/>
          <c:order val="10"/>
          <c:tx>
            <c:v>q3 [l/kg sm]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DANE!$CG$628:$CG$714</c:f>
              <c:numCache>
                <c:formatCode>#,##0</c:formatCode>
                <c:ptCount val="87"/>
                <c:pt idx="0">
                  <c:v>615.78132216800191</c:v>
                </c:pt>
                <c:pt idx="1">
                  <c:v>962.56343517840298</c:v>
                </c:pt>
                <c:pt idx="2">
                  <c:v>2032.0783631544064</c:v>
                </c:pt>
                <c:pt idx="3">
                  <c:v>6096.2350894632191</c:v>
                </c:pt>
                <c:pt idx="4">
                  <c:v>4064.1567263088127</c:v>
                </c:pt>
                <c:pt idx="5">
                  <c:v>4024.1551837270331</c:v>
                </c:pt>
                <c:pt idx="6">
                  <c:v>2012.0775918635165</c:v>
                </c:pt>
                <c:pt idx="7">
                  <c:v>2012.0775918635165</c:v>
                </c:pt>
                <c:pt idx="8">
                  <c:v>503.01939796587914</c:v>
                </c:pt>
                <c:pt idx="9">
                  <c:v>503.01939796587914</c:v>
                </c:pt>
                <c:pt idx="10">
                  <c:v>2012.0775918635165</c:v>
                </c:pt>
                <c:pt idx="11">
                  <c:v>2012.0775918635165</c:v>
                </c:pt>
                <c:pt idx="44">
                  <c:v>0</c:v>
                </c:pt>
                <c:pt idx="45">
                  <c:v>41.918283163823261</c:v>
                </c:pt>
                <c:pt idx="46">
                  <c:v>62.877424745734892</c:v>
                </c:pt>
                <c:pt idx="47">
                  <c:v>125.75484949146978</c:v>
                </c:pt>
                <c:pt idx="48">
                  <c:v>314.38712372867445</c:v>
                </c:pt>
                <c:pt idx="49">
                  <c:v>377.26454847440937</c:v>
                </c:pt>
                <c:pt idx="50">
                  <c:v>565.89682271161405</c:v>
                </c:pt>
                <c:pt idx="51">
                  <c:v>691.65167220308388</c:v>
                </c:pt>
                <c:pt idx="52">
                  <c:v>628.77424745734891</c:v>
                </c:pt>
                <c:pt idx="53">
                  <c:v>486.42231123096445</c:v>
                </c:pt>
                <c:pt idx="54">
                  <c:v>486.42231123096445</c:v>
                </c:pt>
                <c:pt idx="55">
                  <c:v>555.91121283538791</c:v>
                </c:pt>
                <c:pt idx="56">
                  <c:v>243.21115561548223</c:v>
                </c:pt>
                <c:pt idx="57">
                  <c:v>271.49152254751505</c:v>
                </c:pt>
                <c:pt idx="58">
                  <c:v>432.37538776085728</c:v>
                </c:pt>
                <c:pt idx="59">
                  <c:v>364.81673342322335</c:v>
                </c:pt>
                <c:pt idx="60">
                  <c:v>262.93097904376452</c:v>
                </c:pt>
                <c:pt idx="61">
                  <c:v>364.81673342322335</c:v>
                </c:pt>
                <c:pt idx="62">
                  <c:v>364.81673342322335</c:v>
                </c:pt>
                <c:pt idx="63">
                  <c:v>425.61952232709393</c:v>
                </c:pt>
                <c:pt idx="64">
                  <c:v>486.42231123096451</c:v>
                </c:pt>
                <c:pt idx="65">
                  <c:v>304.01394451935278</c:v>
                </c:pt>
                <c:pt idx="66">
                  <c:v>457.80923409973116</c:v>
                </c:pt>
                <c:pt idx="67">
                  <c:v>242.90290320025346</c:v>
                </c:pt>
                <c:pt idx="68">
                  <c:v>51.137453305316519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485.19086234177212</c:v>
                </c:pt>
                <c:pt idx="76">
                  <c:v>485.19086234177212</c:v>
                </c:pt>
                <c:pt idx="77">
                  <c:v>485.19086234177212</c:v>
                </c:pt>
                <c:pt idx="78">
                  <c:v>303.24428896360757</c:v>
                </c:pt>
                <c:pt idx="79">
                  <c:v>303.24428896360757</c:v>
                </c:pt>
                <c:pt idx="80">
                  <c:v>303.24428896360757</c:v>
                </c:pt>
                <c:pt idx="81">
                  <c:v>250.19633240861617</c:v>
                </c:pt>
                <c:pt idx="82">
                  <c:v>250.19633240861617</c:v>
                </c:pt>
                <c:pt idx="83">
                  <c:v>250.19633240861617</c:v>
                </c:pt>
                <c:pt idx="84">
                  <c:v>187.64724930646213</c:v>
                </c:pt>
                <c:pt idx="85">
                  <c:v>250.19633240861617</c:v>
                </c:pt>
                <c:pt idx="86">
                  <c:v>250.19633240861617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34208"/>
        <c:axId val="58734784"/>
      </c:scatterChart>
      <c:scatterChart>
        <c:scatterStyle val="smoothMarker"/>
        <c:varyColors val="0"/>
        <c:ser>
          <c:idx val="3"/>
          <c:order val="3"/>
          <c:tx>
            <c:v>q4 [m3/m3*d] bez enzymów I</c:v>
          </c:tx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DANE!$CH$408:$CH$579</c:f>
              <c:numCache>
                <c:formatCode>0.00</c:formatCode>
                <c:ptCount val="172"/>
                <c:pt idx="0">
                  <c:v>1.0687206769436997</c:v>
                </c:pt>
                <c:pt idx="1">
                  <c:v>1.0687206769436997</c:v>
                </c:pt>
                <c:pt idx="2">
                  <c:v>1.0687206769436997</c:v>
                </c:pt>
                <c:pt idx="3">
                  <c:v>1.0687206769436997</c:v>
                </c:pt>
                <c:pt idx="4">
                  <c:v>1.0687206769436997</c:v>
                </c:pt>
                <c:pt idx="5">
                  <c:v>0.90430211126005366</c:v>
                </c:pt>
                <c:pt idx="6">
                  <c:v>0.98651139410187672</c:v>
                </c:pt>
                <c:pt idx="7">
                  <c:v>0.98651139410187672</c:v>
                </c:pt>
                <c:pt idx="8">
                  <c:v>0.73988354557640745</c:v>
                </c:pt>
                <c:pt idx="9">
                  <c:v>0.6576742627345844</c:v>
                </c:pt>
                <c:pt idx="10">
                  <c:v>0</c:v>
                </c:pt>
                <c:pt idx="11">
                  <c:v>0.49325569705093836</c:v>
                </c:pt>
                <c:pt idx="12">
                  <c:v>0.49325569705093836</c:v>
                </c:pt>
                <c:pt idx="13">
                  <c:v>0.57546497989276135</c:v>
                </c:pt>
                <c:pt idx="14">
                  <c:v>0.6576742627345844</c:v>
                </c:pt>
                <c:pt idx="15">
                  <c:v>0.57546497989276135</c:v>
                </c:pt>
                <c:pt idx="16">
                  <c:v>0.57546497989276135</c:v>
                </c:pt>
                <c:pt idx="17">
                  <c:v>0.49325569705093836</c:v>
                </c:pt>
                <c:pt idx="18">
                  <c:v>0.73988354557640745</c:v>
                </c:pt>
                <c:pt idx="19">
                  <c:v>0.57546497989276135</c:v>
                </c:pt>
                <c:pt idx="20">
                  <c:v>0.49325569705093836</c:v>
                </c:pt>
                <c:pt idx="21">
                  <c:v>0.41104641420911531</c:v>
                </c:pt>
                <c:pt idx="22">
                  <c:v>0.41104641420911531</c:v>
                </c:pt>
                <c:pt idx="23">
                  <c:v>0.3288371313672922</c:v>
                </c:pt>
                <c:pt idx="24">
                  <c:v>0.41104641420911531</c:v>
                </c:pt>
                <c:pt idx="25">
                  <c:v>0.6576742627345844</c:v>
                </c:pt>
                <c:pt idx="26">
                  <c:v>0.57546497989276135</c:v>
                </c:pt>
                <c:pt idx="27">
                  <c:v>0.6576742627345844</c:v>
                </c:pt>
                <c:pt idx="28">
                  <c:v>0.6576742627345844</c:v>
                </c:pt>
                <c:pt idx="29">
                  <c:v>0.73988354557640745</c:v>
                </c:pt>
                <c:pt idx="30">
                  <c:v>0.73988354557640745</c:v>
                </c:pt>
                <c:pt idx="31">
                  <c:v>0.73988354557640745</c:v>
                </c:pt>
                <c:pt idx="32">
                  <c:v>0.73988354557640745</c:v>
                </c:pt>
                <c:pt idx="33">
                  <c:v>0.6576742627345844</c:v>
                </c:pt>
                <c:pt idx="34">
                  <c:v>0.57546497989276135</c:v>
                </c:pt>
                <c:pt idx="35">
                  <c:v>0.57546497989276135</c:v>
                </c:pt>
                <c:pt idx="36">
                  <c:v>0.6576742627345844</c:v>
                </c:pt>
                <c:pt idx="37">
                  <c:v>0.73988354557640745</c:v>
                </c:pt>
                <c:pt idx="38">
                  <c:v>0.6576742627345844</c:v>
                </c:pt>
                <c:pt idx="39">
                  <c:v>0.57546497989276135</c:v>
                </c:pt>
                <c:pt idx="40">
                  <c:v>0.73988354557641234</c:v>
                </c:pt>
                <c:pt idx="41">
                  <c:v>0.82209282841823061</c:v>
                </c:pt>
                <c:pt idx="42">
                  <c:v>0.57546497989276135</c:v>
                </c:pt>
                <c:pt idx="43">
                  <c:v>0.82209282841823061</c:v>
                </c:pt>
                <c:pt idx="44">
                  <c:v>0.73988354557640745</c:v>
                </c:pt>
                <c:pt idx="45">
                  <c:v>0.73988354557640745</c:v>
                </c:pt>
                <c:pt idx="46">
                  <c:v>0.57546497989276135</c:v>
                </c:pt>
                <c:pt idx="47">
                  <c:v>0.57546497989276135</c:v>
                </c:pt>
                <c:pt idx="48">
                  <c:v>0.6576742627345844</c:v>
                </c:pt>
                <c:pt idx="49">
                  <c:v>0.6576742627345844</c:v>
                </c:pt>
                <c:pt idx="50">
                  <c:v>0.6576742627345844</c:v>
                </c:pt>
                <c:pt idx="51">
                  <c:v>0.6576742627345844</c:v>
                </c:pt>
                <c:pt idx="52">
                  <c:v>0.57546497989276135</c:v>
                </c:pt>
                <c:pt idx="53">
                  <c:v>0.57546497989276135</c:v>
                </c:pt>
                <c:pt idx="54">
                  <c:v>0.90430211126005366</c:v>
                </c:pt>
                <c:pt idx="55">
                  <c:v>0.82209282841823061</c:v>
                </c:pt>
                <c:pt idx="56">
                  <c:v>0.73988354557640745</c:v>
                </c:pt>
                <c:pt idx="57">
                  <c:v>0.6576742627345844</c:v>
                </c:pt>
                <c:pt idx="58">
                  <c:v>0.73988354557640745</c:v>
                </c:pt>
                <c:pt idx="59">
                  <c:v>0.6576742627345844</c:v>
                </c:pt>
                <c:pt idx="60">
                  <c:v>0.57546497989276135</c:v>
                </c:pt>
                <c:pt idx="61">
                  <c:v>0.57546497989276135</c:v>
                </c:pt>
                <c:pt idx="62">
                  <c:v>0.73988354557640745</c:v>
                </c:pt>
                <c:pt idx="63">
                  <c:v>0.57546497989276135</c:v>
                </c:pt>
                <c:pt idx="64">
                  <c:v>0.57546497989276135</c:v>
                </c:pt>
                <c:pt idx="65">
                  <c:v>0.49325569705093836</c:v>
                </c:pt>
                <c:pt idx="66">
                  <c:v>0.6576742627345844</c:v>
                </c:pt>
                <c:pt idx="67">
                  <c:v>0.6576742627345844</c:v>
                </c:pt>
                <c:pt idx="68">
                  <c:v>0.49325569705093836</c:v>
                </c:pt>
                <c:pt idx="69">
                  <c:v>0.57546497989276135</c:v>
                </c:pt>
                <c:pt idx="70">
                  <c:v>0.6576742627345844</c:v>
                </c:pt>
                <c:pt idx="71">
                  <c:v>0.57546497989276135</c:v>
                </c:pt>
                <c:pt idx="72">
                  <c:v>0.49325569705093836</c:v>
                </c:pt>
                <c:pt idx="73">
                  <c:v>0.57546497989276135</c:v>
                </c:pt>
                <c:pt idx="74">
                  <c:v>0.57546497989276135</c:v>
                </c:pt>
                <c:pt idx="75">
                  <c:v>0.6576742627345844</c:v>
                </c:pt>
                <c:pt idx="76">
                  <c:v>0.41104641420911531</c:v>
                </c:pt>
                <c:pt idx="77">
                  <c:v>0.82209282841823061</c:v>
                </c:pt>
                <c:pt idx="78">
                  <c:v>0.6576742627345844</c:v>
                </c:pt>
                <c:pt idx="79">
                  <c:v>0.57546497989276135</c:v>
                </c:pt>
                <c:pt idx="80">
                  <c:v>0.49325569705093836</c:v>
                </c:pt>
                <c:pt idx="81">
                  <c:v>0</c:v>
                </c:pt>
                <c:pt idx="82">
                  <c:v>0.49325569705093836</c:v>
                </c:pt>
                <c:pt idx="83">
                  <c:v>0.57546497989276135</c:v>
                </c:pt>
                <c:pt idx="84">
                  <c:v>0.49325569705093836</c:v>
                </c:pt>
                <c:pt idx="85">
                  <c:v>0.57546497989276135</c:v>
                </c:pt>
                <c:pt idx="87">
                  <c:v>0.57546497989276135</c:v>
                </c:pt>
                <c:pt idx="88">
                  <c:v>0.6576742627345844</c:v>
                </c:pt>
                <c:pt idx="89">
                  <c:v>0.6576742627345844</c:v>
                </c:pt>
                <c:pt idx="90">
                  <c:v>0.6576742627345844</c:v>
                </c:pt>
                <c:pt idx="91">
                  <c:v>0.6576742627345844</c:v>
                </c:pt>
                <c:pt idx="92">
                  <c:v>0.57546497989276135</c:v>
                </c:pt>
                <c:pt idx="93">
                  <c:v>0.41104641420911531</c:v>
                </c:pt>
                <c:pt idx="94">
                  <c:v>0.73988354557640745</c:v>
                </c:pt>
                <c:pt idx="95">
                  <c:v>0.73988354557640745</c:v>
                </c:pt>
                <c:pt idx="96">
                  <c:v>0.6576742627345844</c:v>
                </c:pt>
                <c:pt idx="97">
                  <c:v>0.73988354557640745</c:v>
                </c:pt>
                <c:pt idx="98">
                  <c:v>0.73988354557640745</c:v>
                </c:pt>
                <c:pt idx="99">
                  <c:v>0.82209282841823061</c:v>
                </c:pt>
                <c:pt idx="100">
                  <c:v>0.3288371313672922</c:v>
                </c:pt>
                <c:pt idx="101">
                  <c:v>0.49325569705093836</c:v>
                </c:pt>
                <c:pt idx="102">
                  <c:v>0.73988354557640745</c:v>
                </c:pt>
                <c:pt idx="103">
                  <c:v>0.73988354557640745</c:v>
                </c:pt>
                <c:pt idx="104">
                  <c:v>0.82209282841823061</c:v>
                </c:pt>
                <c:pt idx="105">
                  <c:v>0.57546497989276135</c:v>
                </c:pt>
                <c:pt idx="106">
                  <c:v>0.24662784852546918</c:v>
                </c:pt>
                <c:pt idx="107">
                  <c:v>0.57546497989276135</c:v>
                </c:pt>
                <c:pt idx="108">
                  <c:v>0.57546497989276135</c:v>
                </c:pt>
                <c:pt idx="109">
                  <c:v>0.82209282841823061</c:v>
                </c:pt>
                <c:pt idx="110">
                  <c:v>0.73988354557640745</c:v>
                </c:pt>
                <c:pt idx="111">
                  <c:v>0.49325569705093836</c:v>
                </c:pt>
                <c:pt idx="112">
                  <c:v>0.57546497989276135</c:v>
                </c:pt>
                <c:pt idx="113">
                  <c:v>0.82209282841823061</c:v>
                </c:pt>
                <c:pt idx="114">
                  <c:v>0.73988354557640745</c:v>
                </c:pt>
                <c:pt idx="115">
                  <c:v>0.57546497989276135</c:v>
                </c:pt>
                <c:pt idx="116">
                  <c:v>0.57546497989276135</c:v>
                </c:pt>
                <c:pt idx="117">
                  <c:v>0.73988354557640745</c:v>
                </c:pt>
                <c:pt idx="118">
                  <c:v>0.73988354557640745</c:v>
                </c:pt>
                <c:pt idx="119">
                  <c:v>0.73988354557640745</c:v>
                </c:pt>
                <c:pt idx="120">
                  <c:v>0.73988354557640745</c:v>
                </c:pt>
                <c:pt idx="121">
                  <c:v>0.57546497989276135</c:v>
                </c:pt>
                <c:pt idx="122">
                  <c:v>0.98651139410187672</c:v>
                </c:pt>
                <c:pt idx="123">
                  <c:v>0.90430211126005366</c:v>
                </c:pt>
                <c:pt idx="124">
                  <c:v>0.90430211126005366</c:v>
                </c:pt>
                <c:pt idx="125">
                  <c:v>0.6576742627345844</c:v>
                </c:pt>
                <c:pt idx="126">
                  <c:v>0.6576742627345844</c:v>
                </c:pt>
                <c:pt idx="127">
                  <c:v>0.73988354557640745</c:v>
                </c:pt>
                <c:pt idx="128">
                  <c:v>0.6576742627345844</c:v>
                </c:pt>
                <c:pt idx="129">
                  <c:v>0.73988354557640745</c:v>
                </c:pt>
                <c:pt idx="130">
                  <c:v>0.82209282841823061</c:v>
                </c:pt>
                <c:pt idx="131">
                  <c:v>0.73988354557640745</c:v>
                </c:pt>
                <c:pt idx="132">
                  <c:v>0.6576742627345844</c:v>
                </c:pt>
                <c:pt idx="133">
                  <c:v>0.6576742627345844</c:v>
                </c:pt>
                <c:pt idx="134">
                  <c:v>0.73988354557640745</c:v>
                </c:pt>
                <c:pt idx="135">
                  <c:v>0.6576742627345844</c:v>
                </c:pt>
                <c:pt idx="136">
                  <c:v>0.57546497989276135</c:v>
                </c:pt>
                <c:pt idx="137">
                  <c:v>0.57546497989276135</c:v>
                </c:pt>
                <c:pt idx="138">
                  <c:v>0.57546497989276135</c:v>
                </c:pt>
                <c:pt idx="139">
                  <c:v>0.57546497989276135</c:v>
                </c:pt>
                <c:pt idx="140">
                  <c:v>0.49325569705093836</c:v>
                </c:pt>
                <c:pt idx="141">
                  <c:v>0.86319746983914281</c:v>
                </c:pt>
                <c:pt idx="142">
                  <c:v>0.57546497989276135</c:v>
                </c:pt>
                <c:pt idx="143">
                  <c:v>0.57546497989276135</c:v>
                </c:pt>
                <c:pt idx="144">
                  <c:v>0.57546497989276135</c:v>
                </c:pt>
                <c:pt idx="145">
                  <c:v>0.73988354557640745</c:v>
                </c:pt>
                <c:pt idx="146">
                  <c:v>0.98651139410187672</c:v>
                </c:pt>
                <c:pt idx="147">
                  <c:v>1.0687206769436997</c:v>
                </c:pt>
                <c:pt idx="148">
                  <c:v>0.90430211126005366</c:v>
                </c:pt>
                <c:pt idx="149">
                  <c:v>0.90430211126005366</c:v>
                </c:pt>
                <c:pt idx="150">
                  <c:v>1.0687206769436997</c:v>
                </c:pt>
                <c:pt idx="151">
                  <c:v>0.82209282841823061</c:v>
                </c:pt>
                <c:pt idx="152">
                  <c:v>0.90430211126005366</c:v>
                </c:pt>
                <c:pt idx="153">
                  <c:v>0.90430211126005366</c:v>
                </c:pt>
                <c:pt idx="154">
                  <c:v>0.90430211126005366</c:v>
                </c:pt>
                <c:pt idx="155">
                  <c:v>0.73988354557640745</c:v>
                </c:pt>
                <c:pt idx="156">
                  <c:v>0.73988354557640745</c:v>
                </c:pt>
                <c:pt idx="157">
                  <c:v>0.57546497989276135</c:v>
                </c:pt>
                <c:pt idx="158">
                  <c:v>0.82209282841823061</c:v>
                </c:pt>
                <c:pt idx="159">
                  <c:v>0.82209282841823061</c:v>
                </c:pt>
                <c:pt idx="160">
                  <c:v>0.82209282841823061</c:v>
                </c:pt>
                <c:pt idx="161">
                  <c:v>0.73988354557640745</c:v>
                </c:pt>
                <c:pt idx="162">
                  <c:v>0.82209282841823061</c:v>
                </c:pt>
                <c:pt idx="163">
                  <c:v>0.82209282841823061</c:v>
                </c:pt>
                <c:pt idx="164">
                  <c:v>0.82209282841823061</c:v>
                </c:pt>
                <c:pt idx="165">
                  <c:v>0.82209282841823061</c:v>
                </c:pt>
                <c:pt idx="166">
                  <c:v>0.73988354557640745</c:v>
                </c:pt>
                <c:pt idx="167">
                  <c:v>0.57546497989276135</c:v>
                </c:pt>
                <c:pt idx="168">
                  <c:v>0.41104641420911531</c:v>
                </c:pt>
                <c:pt idx="169">
                  <c:v>0.49325569705093836</c:v>
                </c:pt>
                <c:pt idx="170">
                  <c:v>0.49325569705093836</c:v>
                </c:pt>
                <c:pt idx="171">
                  <c:v>0.57546497989276135</c:v>
                </c:pt>
              </c:numCache>
            </c:numRef>
          </c:yVal>
          <c:smooth val="1"/>
        </c:ser>
        <c:ser>
          <c:idx val="15"/>
          <c:order val="7"/>
          <c:tx>
            <c:v>q4 [m3/m3*d] - enzymy 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DANE!$CH$580:$CH$627</c:f>
              <c:numCache>
                <c:formatCode>0.00</c:formatCode>
                <c:ptCount val="48"/>
                <c:pt idx="0">
                  <c:v>0.57546497989276135</c:v>
                </c:pt>
                <c:pt idx="1">
                  <c:v>0.6576742627345844</c:v>
                </c:pt>
                <c:pt idx="2">
                  <c:v>0.6576742627345844</c:v>
                </c:pt>
                <c:pt idx="3">
                  <c:v>0.49325569705093836</c:v>
                </c:pt>
                <c:pt idx="4">
                  <c:v>0.73988354557640745</c:v>
                </c:pt>
                <c:pt idx="5">
                  <c:v>0.90430211126005366</c:v>
                </c:pt>
                <c:pt idx="6">
                  <c:v>0.73988354557640745</c:v>
                </c:pt>
                <c:pt idx="7">
                  <c:v>0.49325569705093836</c:v>
                </c:pt>
                <c:pt idx="8">
                  <c:v>0.6576742627345844</c:v>
                </c:pt>
                <c:pt idx="9">
                  <c:v>0.73988354557640745</c:v>
                </c:pt>
                <c:pt idx="10">
                  <c:v>0.82209282841823061</c:v>
                </c:pt>
                <c:pt idx="11">
                  <c:v>0.55491265918230537</c:v>
                </c:pt>
                <c:pt idx="12">
                  <c:v>0.73988354557640745</c:v>
                </c:pt>
                <c:pt idx="13">
                  <c:v>0.82209282841823061</c:v>
                </c:pt>
                <c:pt idx="14">
                  <c:v>0.73988354557640745</c:v>
                </c:pt>
                <c:pt idx="15">
                  <c:v>0.82209282841823061</c:v>
                </c:pt>
                <c:pt idx="16">
                  <c:v>0.82209282841823061</c:v>
                </c:pt>
                <c:pt idx="17">
                  <c:v>0.82209282841823061</c:v>
                </c:pt>
                <c:pt idx="18">
                  <c:v>0.90430211126005366</c:v>
                </c:pt>
                <c:pt idx="19">
                  <c:v>0.73988354557640745</c:v>
                </c:pt>
                <c:pt idx="20">
                  <c:v>0.82209282841823061</c:v>
                </c:pt>
                <c:pt idx="21">
                  <c:v>0.98651139410187672</c:v>
                </c:pt>
                <c:pt idx="22">
                  <c:v>0.82209282841823061</c:v>
                </c:pt>
                <c:pt idx="23">
                  <c:v>1.3153485254691688</c:v>
                </c:pt>
                <c:pt idx="24">
                  <c:v>1.1509299597855227</c:v>
                </c:pt>
                <c:pt idx="25">
                  <c:v>1.2331392426273458</c:v>
                </c:pt>
                <c:pt idx="26">
                  <c:v>1.2331392426273458</c:v>
                </c:pt>
                <c:pt idx="27">
                  <c:v>0.73988354557640745</c:v>
                </c:pt>
                <c:pt idx="28">
                  <c:v>0.82209282841823061</c:v>
                </c:pt>
                <c:pt idx="29">
                  <c:v>0.82209282841823061</c:v>
                </c:pt>
                <c:pt idx="30">
                  <c:v>0.90430211126005366</c:v>
                </c:pt>
                <c:pt idx="31">
                  <c:v>0.90430211126005366</c:v>
                </c:pt>
                <c:pt idx="32">
                  <c:v>0.6576742627345844</c:v>
                </c:pt>
                <c:pt idx="33">
                  <c:v>0.90430211126005366</c:v>
                </c:pt>
                <c:pt idx="34">
                  <c:v>0.73988354557640745</c:v>
                </c:pt>
                <c:pt idx="35">
                  <c:v>0.82209282841823061</c:v>
                </c:pt>
                <c:pt idx="36">
                  <c:v>0.82209282841823061</c:v>
                </c:pt>
                <c:pt idx="37">
                  <c:v>0.82209282841823061</c:v>
                </c:pt>
                <c:pt idx="38">
                  <c:v>0.98651139410187672</c:v>
                </c:pt>
                <c:pt idx="39">
                  <c:v>0.82209282841823061</c:v>
                </c:pt>
                <c:pt idx="40">
                  <c:v>0.73988354557640745</c:v>
                </c:pt>
                <c:pt idx="41">
                  <c:v>0.57546497989276135</c:v>
                </c:pt>
                <c:pt idx="42">
                  <c:v>0.98651139410187672</c:v>
                </c:pt>
                <c:pt idx="43">
                  <c:v>0.57546497989276135</c:v>
                </c:pt>
                <c:pt idx="44">
                  <c:v>0.24662784852546918</c:v>
                </c:pt>
                <c:pt idx="45">
                  <c:v>0.1644185656836461</c:v>
                </c:pt>
                <c:pt idx="46">
                  <c:v>0.41104641420911531</c:v>
                </c:pt>
                <c:pt idx="47">
                  <c:v>0.73988354557640745</c:v>
                </c:pt>
              </c:numCache>
            </c:numRef>
          </c:yVal>
          <c:smooth val="1"/>
        </c:ser>
        <c:ser>
          <c:idx val="19"/>
          <c:order val="11"/>
          <c:tx>
            <c:v>q4 [m3/m3*d]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DANE!$CH$628:$CH$714</c:f>
              <c:numCache>
                <c:formatCode>0.00</c:formatCode>
                <c:ptCount val="87"/>
                <c:pt idx="0">
                  <c:v>0.82209282841823061</c:v>
                </c:pt>
                <c:pt idx="1">
                  <c:v>0.73988354557640745</c:v>
                </c:pt>
                <c:pt idx="2">
                  <c:v>0.57546497989276135</c:v>
                </c:pt>
                <c:pt idx="3">
                  <c:v>0.24662784852546918</c:v>
                </c:pt>
                <c:pt idx="4">
                  <c:v>0.1644185656836461</c:v>
                </c:pt>
                <c:pt idx="5">
                  <c:v>0.1644185656836461</c:v>
                </c:pt>
                <c:pt idx="6">
                  <c:v>8.220928284182305E-2</c:v>
                </c:pt>
                <c:pt idx="7">
                  <c:v>8.220928284182305E-2</c:v>
                </c:pt>
                <c:pt idx="8">
                  <c:v>8.220928284182305E-2</c:v>
                </c:pt>
                <c:pt idx="9">
                  <c:v>8.220928284182305E-2</c:v>
                </c:pt>
                <c:pt idx="10">
                  <c:v>8.220928284182305E-2</c:v>
                </c:pt>
                <c:pt idx="11">
                  <c:v>8.220928284182305E-2</c:v>
                </c:pt>
                <c:pt idx="12">
                  <c:v>0</c:v>
                </c:pt>
                <c:pt idx="13">
                  <c:v>8.220928284182305E-2</c:v>
                </c:pt>
                <c:pt idx="14">
                  <c:v>8.220928284182305E-2</c:v>
                </c:pt>
                <c:pt idx="15">
                  <c:v>0</c:v>
                </c:pt>
                <c:pt idx="16">
                  <c:v>8.220928284182305E-2</c:v>
                </c:pt>
                <c:pt idx="17">
                  <c:v>8.220928284182305E-2</c:v>
                </c:pt>
                <c:pt idx="18">
                  <c:v>0</c:v>
                </c:pt>
                <c:pt idx="19">
                  <c:v>0</c:v>
                </c:pt>
                <c:pt idx="20">
                  <c:v>8.220928284182305E-2</c:v>
                </c:pt>
                <c:pt idx="21">
                  <c:v>8.220928284182305E-2</c:v>
                </c:pt>
                <c:pt idx="22">
                  <c:v>0</c:v>
                </c:pt>
                <c:pt idx="23">
                  <c:v>8.220928284182305E-2</c:v>
                </c:pt>
                <c:pt idx="24">
                  <c:v>0</c:v>
                </c:pt>
                <c:pt idx="25">
                  <c:v>8.220928284182305E-2</c:v>
                </c:pt>
                <c:pt idx="26">
                  <c:v>0</c:v>
                </c:pt>
                <c:pt idx="27">
                  <c:v>8.220928284182305E-2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8.220928284182305E-2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8.220928284182305E-2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8.220928284182305E-2</c:v>
                </c:pt>
                <c:pt idx="46">
                  <c:v>8.220928284182305E-2</c:v>
                </c:pt>
                <c:pt idx="47">
                  <c:v>0.1644185656836461</c:v>
                </c:pt>
                <c:pt idx="48">
                  <c:v>0.41104641420911531</c:v>
                </c:pt>
                <c:pt idx="49">
                  <c:v>0.49325569705093836</c:v>
                </c:pt>
                <c:pt idx="50">
                  <c:v>0.73988354557640745</c:v>
                </c:pt>
                <c:pt idx="51">
                  <c:v>0.90430211126005366</c:v>
                </c:pt>
                <c:pt idx="52">
                  <c:v>0.82209282841823061</c:v>
                </c:pt>
                <c:pt idx="53">
                  <c:v>0.6576742627345844</c:v>
                </c:pt>
                <c:pt idx="54">
                  <c:v>0.6576742627345844</c:v>
                </c:pt>
                <c:pt idx="55">
                  <c:v>0.49325569705093836</c:v>
                </c:pt>
                <c:pt idx="56">
                  <c:v>0.3288371313672922</c:v>
                </c:pt>
                <c:pt idx="57">
                  <c:v>0.49325569705093836</c:v>
                </c:pt>
                <c:pt idx="58">
                  <c:v>0.49325569705093836</c:v>
                </c:pt>
                <c:pt idx="59">
                  <c:v>0.49325569705093836</c:v>
                </c:pt>
                <c:pt idx="60">
                  <c:v>0.41104641420911531</c:v>
                </c:pt>
                <c:pt idx="61">
                  <c:v>0.49325569705093836</c:v>
                </c:pt>
                <c:pt idx="62">
                  <c:v>0.49325569705093836</c:v>
                </c:pt>
                <c:pt idx="63">
                  <c:v>0.57546497989276135</c:v>
                </c:pt>
                <c:pt idx="64">
                  <c:v>0.49325569705093836</c:v>
                </c:pt>
                <c:pt idx="65">
                  <c:v>0.41104641420911531</c:v>
                </c:pt>
                <c:pt idx="66">
                  <c:v>0.6576742627345844</c:v>
                </c:pt>
                <c:pt idx="67">
                  <c:v>0.3288371313672922</c:v>
                </c:pt>
                <c:pt idx="68">
                  <c:v>8.220928284182305E-2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0.6576742627345844</c:v>
                </c:pt>
                <c:pt idx="76">
                  <c:v>0.6576742627345844</c:v>
                </c:pt>
                <c:pt idx="77">
                  <c:v>0.6576742627345844</c:v>
                </c:pt>
                <c:pt idx="78">
                  <c:v>0.41104641420911531</c:v>
                </c:pt>
                <c:pt idx="79">
                  <c:v>0.41104641420911531</c:v>
                </c:pt>
                <c:pt idx="80">
                  <c:v>0.41104641420911531</c:v>
                </c:pt>
                <c:pt idx="81">
                  <c:v>0.3288371313672922</c:v>
                </c:pt>
                <c:pt idx="82">
                  <c:v>0.3288371313672922</c:v>
                </c:pt>
                <c:pt idx="83">
                  <c:v>0.3288371313672922</c:v>
                </c:pt>
                <c:pt idx="84">
                  <c:v>0.24662784852546918</c:v>
                </c:pt>
                <c:pt idx="85">
                  <c:v>0.3288371313672922</c:v>
                </c:pt>
                <c:pt idx="86">
                  <c:v>0.3288371313672922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35360"/>
        <c:axId val="58735936"/>
      </c:scatterChart>
      <c:valAx>
        <c:axId val="587342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734784"/>
        <c:crossesAt val="0"/>
        <c:crossBetween val="midCat"/>
        <c:majorUnit val="15"/>
      </c:valAx>
      <c:valAx>
        <c:axId val="58734784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90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WSKAŹNIK PRODUKCJI BIOGAZU [l/kg smo </a:t>
                </a:r>
                <a:r>
                  <a:rPr lang="pl-PL" sz="1200" b="1" i="0" strike="noStrike" baseline="-25000">
                    <a:solidFill>
                      <a:srgbClr val="000000"/>
                    </a:solidFill>
                    <a:latin typeface="Calibri"/>
                  </a:rPr>
                  <a:t>wpr</a:t>
                </a: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] ,  [l/kg smo </a:t>
                </a:r>
                <a:r>
                  <a:rPr lang="pl-PL" sz="1200" b="1" i="0" strike="noStrike" baseline="-25000">
                    <a:solidFill>
                      <a:srgbClr val="000000"/>
                    </a:solidFill>
                    <a:latin typeface="Calibri"/>
                  </a:rPr>
                  <a:t>us</a:t>
                </a: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], </a:t>
                </a:r>
                <a:r>
                  <a:rPr lang="pl-PL" sz="900" b="1" i="0" strike="noStrike">
                    <a:solidFill>
                      <a:srgbClr val="000000"/>
                    </a:solidFill>
                    <a:latin typeface="Calibri"/>
                  </a:rPr>
                  <a:t>[</a:t>
                </a: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l/kg sm</a:t>
                </a:r>
                <a:r>
                  <a:rPr lang="pl-PL" sz="1200" b="1" i="0" strike="noStrike" baseline="-25000">
                    <a:solidFill>
                      <a:srgbClr val="000000"/>
                    </a:solidFill>
                    <a:latin typeface="Calibri"/>
                  </a:rPr>
                  <a:t>wpr</a:t>
                </a:r>
                <a:r>
                  <a:rPr lang="pl-PL" sz="900" b="1" i="0" strike="noStrike">
                    <a:solidFill>
                      <a:srgbClr val="000000"/>
                    </a:solidFill>
                    <a:latin typeface="Calibri"/>
                  </a:rPr>
                  <a:t>] </a:t>
                </a:r>
              </a:p>
            </c:rich>
          </c:tx>
          <c:layout>
            <c:manualLayout>
              <c:xMode val="edge"/>
              <c:yMode val="edge"/>
              <c:x val="1.636913213717138E-2"/>
              <c:y val="0.10462501748410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734208"/>
        <c:crossesAt val="41176"/>
        <c:crossBetween val="midCat"/>
      </c:valAx>
      <c:valAx>
        <c:axId val="58735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8735936"/>
        <c:crossesAt val="0"/>
        <c:crossBetween val="midCat"/>
      </c:valAx>
      <c:valAx>
        <c:axId val="58735936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 WSKAŹNIK PRODUKCJI BIOGAZU    [ m</a:t>
                </a:r>
                <a:r>
                  <a:rPr lang="pl-PL" sz="1200" b="1" i="0" strike="noStrike" baseline="30000">
                    <a:solidFill>
                      <a:srgbClr val="000000"/>
                    </a:solidFill>
                    <a:latin typeface="Calibri"/>
                  </a:rPr>
                  <a:t>3</a:t>
                </a: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/m</a:t>
                </a:r>
                <a:r>
                  <a:rPr lang="pl-PL" sz="1200" b="1" i="0" strike="noStrike" baseline="30000">
                    <a:solidFill>
                      <a:srgbClr val="000000"/>
                    </a:solidFill>
                    <a:latin typeface="Calibri"/>
                  </a:rPr>
                  <a:t>3</a:t>
                </a:r>
                <a:r>
                  <a:rPr lang="pl-PL" sz="1200" b="1" i="0" strike="noStrike">
                    <a:solidFill>
                      <a:srgbClr val="000000"/>
                    </a:solidFill>
                    <a:latin typeface="Calibri"/>
                  </a:rPr>
                  <a:t>*d]</a:t>
                </a:r>
              </a:p>
            </c:rich>
          </c:tx>
          <c:layout>
            <c:manualLayout>
              <c:xMode val="edge"/>
              <c:yMode val="edge"/>
              <c:x val="0.95288886020394992"/>
              <c:y val="0.255016579040479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735360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6758301834583888E-2"/>
          <c:y val="0.85982376027448415"/>
          <c:w val="0.93011280447671751"/>
          <c:h val="0.14017623972552021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S.M. I S.M.O.-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MEZO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04262180538011E-2"/>
          <c:y val="6.2849530231697537E-2"/>
          <c:w val="0.84990309317138535"/>
          <c:h val="0.66974248062335695"/>
        </c:manualLayout>
      </c:layout>
      <c:scatterChart>
        <c:scatterStyle val="lineMarker"/>
        <c:varyColors val="0"/>
        <c:ser>
          <c:idx val="2"/>
          <c:order val="2"/>
          <c:tx>
            <c:v>osad przefermentowany - s.m. [%] bez enzymów I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DANE!$V$408:$V$579</c:f>
              <c:numCache>
                <c:formatCode>General</c:formatCode>
                <c:ptCount val="172"/>
                <c:pt idx="1">
                  <c:v>2.6</c:v>
                </c:pt>
                <c:pt idx="6">
                  <c:v>2.46</c:v>
                </c:pt>
                <c:pt idx="8">
                  <c:v>2.6</c:v>
                </c:pt>
                <c:pt idx="14">
                  <c:v>2.39</c:v>
                </c:pt>
                <c:pt idx="20">
                  <c:v>2.38</c:v>
                </c:pt>
                <c:pt idx="22">
                  <c:v>2.5</c:v>
                </c:pt>
                <c:pt idx="28">
                  <c:v>2.41</c:v>
                </c:pt>
                <c:pt idx="29">
                  <c:v>2.5</c:v>
                </c:pt>
                <c:pt idx="35">
                  <c:v>2.42</c:v>
                </c:pt>
                <c:pt idx="36">
                  <c:v>2.4</c:v>
                </c:pt>
                <c:pt idx="41">
                  <c:v>2.37</c:v>
                </c:pt>
                <c:pt idx="43">
                  <c:v>2.4</c:v>
                </c:pt>
                <c:pt idx="48">
                  <c:v>2.33</c:v>
                </c:pt>
                <c:pt idx="50">
                  <c:v>2.4</c:v>
                </c:pt>
                <c:pt idx="55">
                  <c:v>2.4</c:v>
                </c:pt>
                <c:pt idx="57">
                  <c:v>2.2999999999999998</c:v>
                </c:pt>
                <c:pt idx="62">
                  <c:v>2.16</c:v>
                </c:pt>
                <c:pt idx="78">
                  <c:v>2</c:v>
                </c:pt>
                <c:pt idx="85">
                  <c:v>1.7</c:v>
                </c:pt>
                <c:pt idx="86">
                  <c:v>1.56</c:v>
                </c:pt>
                <c:pt idx="90">
                  <c:v>1.6</c:v>
                </c:pt>
                <c:pt idx="97" formatCode="0.00">
                  <c:v>1.7654315735738313</c:v>
                </c:pt>
                <c:pt idx="99">
                  <c:v>1.7</c:v>
                </c:pt>
                <c:pt idx="104" formatCode="0.00">
                  <c:v>1.5305101700566868</c:v>
                </c:pt>
                <c:pt idx="113" formatCode="0.00">
                  <c:v>1.6249044765313891</c:v>
                </c:pt>
                <c:pt idx="117">
                  <c:v>1.6</c:v>
                </c:pt>
                <c:pt idx="120">
                  <c:v>1.7</c:v>
                </c:pt>
                <c:pt idx="121" formatCode="0.0">
                  <c:v>1.7250279617998878</c:v>
                </c:pt>
                <c:pt idx="127" formatCode="0.0">
                  <c:v>1.7417128180431831</c:v>
                </c:pt>
                <c:pt idx="129" formatCode="0.0">
                  <c:v>1.7545547857326145</c:v>
                </c:pt>
                <c:pt idx="134">
                  <c:v>1.8</c:v>
                </c:pt>
                <c:pt idx="141">
                  <c:v>1.8</c:v>
                </c:pt>
                <c:pt idx="142" formatCode="0.0">
                  <c:v>1.7813078346699585</c:v>
                </c:pt>
                <c:pt idx="148">
                  <c:v>1.8</c:v>
                </c:pt>
                <c:pt idx="155">
                  <c:v>1.9</c:v>
                </c:pt>
                <c:pt idx="160" formatCode="0.0">
                  <c:v>1.7950575545359444</c:v>
                </c:pt>
                <c:pt idx="162">
                  <c:v>1.9</c:v>
                </c:pt>
                <c:pt idx="170">
                  <c:v>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55136"/>
        <c:axId val="133355712"/>
      </c:scatterChart>
      <c:scatterChart>
        <c:scatterStyle val="smoothMarker"/>
        <c:varyColors val="0"/>
        <c:ser>
          <c:idx val="0"/>
          <c:order val="0"/>
          <c:tx>
            <c:v>osad surowy - s.m. [%]</c:v>
          </c:tx>
          <c:spPr>
            <a:ln>
              <a:solidFill>
                <a:srgbClr val="CC0000"/>
              </a:solidFill>
            </a:ln>
          </c:spPr>
          <c:marker>
            <c:symbol val="diamond"/>
            <c:size val="7"/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DANE!$D$408:$D$714</c:f>
              <c:numCache>
                <c:formatCode>General</c:formatCode>
                <c:ptCount val="307"/>
                <c:pt idx="1">
                  <c:v>3.8</c:v>
                </c:pt>
                <c:pt idx="6">
                  <c:v>3.32</c:v>
                </c:pt>
                <c:pt idx="8">
                  <c:v>3.4</c:v>
                </c:pt>
                <c:pt idx="14">
                  <c:v>3.32</c:v>
                </c:pt>
                <c:pt idx="20">
                  <c:v>2.91</c:v>
                </c:pt>
                <c:pt idx="22">
                  <c:v>3.1</c:v>
                </c:pt>
                <c:pt idx="28">
                  <c:v>2.98</c:v>
                </c:pt>
                <c:pt idx="29">
                  <c:v>3.7</c:v>
                </c:pt>
                <c:pt idx="35">
                  <c:v>3.22</c:v>
                </c:pt>
                <c:pt idx="36">
                  <c:v>3.2</c:v>
                </c:pt>
                <c:pt idx="41">
                  <c:v>3.96</c:v>
                </c:pt>
                <c:pt idx="43">
                  <c:v>3.7</c:v>
                </c:pt>
                <c:pt idx="48">
                  <c:v>3.17</c:v>
                </c:pt>
                <c:pt idx="50">
                  <c:v>3.1</c:v>
                </c:pt>
                <c:pt idx="55">
                  <c:v>2.77</c:v>
                </c:pt>
                <c:pt idx="57">
                  <c:v>2.7</c:v>
                </c:pt>
                <c:pt idx="62">
                  <c:v>2.4900000000000002</c:v>
                </c:pt>
                <c:pt idx="78">
                  <c:v>2.57</c:v>
                </c:pt>
                <c:pt idx="85">
                  <c:v>1.6</c:v>
                </c:pt>
                <c:pt idx="86">
                  <c:v>2.1800000000000002</c:v>
                </c:pt>
                <c:pt idx="90">
                  <c:v>2.42</c:v>
                </c:pt>
                <c:pt idx="97" formatCode="0.00">
                  <c:v>3.2166739883828783</c:v>
                </c:pt>
                <c:pt idx="99">
                  <c:v>3.1</c:v>
                </c:pt>
                <c:pt idx="104" formatCode="0.00">
                  <c:v>2.4396013839193307</c:v>
                </c:pt>
                <c:pt idx="113" formatCode="0.00">
                  <c:v>2.7183616951499499</c:v>
                </c:pt>
                <c:pt idx="117">
                  <c:v>2.8</c:v>
                </c:pt>
                <c:pt idx="120">
                  <c:v>2.8</c:v>
                </c:pt>
                <c:pt idx="121" formatCode="0.0">
                  <c:v>3.5169065220244047</c:v>
                </c:pt>
                <c:pt idx="127" formatCode="0.00">
                  <c:v>3.061101028433153</c:v>
                </c:pt>
                <c:pt idx="129" formatCode="0.00">
                  <c:v>3.0260108163790904</c:v>
                </c:pt>
                <c:pt idx="134">
                  <c:v>2.9</c:v>
                </c:pt>
                <c:pt idx="141">
                  <c:v>2.4</c:v>
                </c:pt>
                <c:pt idx="142" formatCode="0.00">
                  <c:v>2.5455435504737931</c:v>
                </c:pt>
                <c:pt idx="148">
                  <c:v>3.2</c:v>
                </c:pt>
                <c:pt idx="155">
                  <c:v>3.4</c:v>
                </c:pt>
                <c:pt idx="160" formatCode="0.00">
                  <c:v>3.0945510810019679</c:v>
                </c:pt>
                <c:pt idx="162">
                  <c:v>2.6</c:v>
                </c:pt>
                <c:pt idx="170">
                  <c:v>2.2000000000000002</c:v>
                </c:pt>
                <c:pt idx="175">
                  <c:v>2.7</c:v>
                </c:pt>
                <c:pt idx="183">
                  <c:v>2.8</c:v>
                </c:pt>
                <c:pt idx="190">
                  <c:v>3.58</c:v>
                </c:pt>
                <c:pt idx="196">
                  <c:v>3.9</c:v>
                </c:pt>
                <c:pt idx="204">
                  <c:v>3.3</c:v>
                </c:pt>
                <c:pt idx="207">
                  <c:v>2.9</c:v>
                </c:pt>
                <c:pt idx="211">
                  <c:v>3.1</c:v>
                </c:pt>
                <c:pt idx="218">
                  <c:v>3.1</c:v>
                </c:pt>
                <c:pt idx="225">
                  <c:v>2.9</c:v>
                </c:pt>
                <c:pt idx="273">
                  <c:v>3.24</c:v>
                </c:pt>
                <c:pt idx="287">
                  <c:v>2.74</c:v>
                </c:pt>
                <c:pt idx="294">
                  <c:v>2.84</c:v>
                </c:pt>
                <c:pt idx="301">
                  <c:v>2.62</c:v>
                </c:pt>
              </c:numCache>
            </c:numRef>
          </c:yVal>
          <c:smooth val="1"/>
        </c:ser>
        <c:ser>
          <c:idx val="8"/>
          <c:order val="4"/>
          <c:tx>
            <c:v>osad przefermentowany - s.m.[%] -enzymy 20%</c:v>
          </c:tx>
          <c:spPr>
            <a:ln w="22225"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DANE!$V$580:$V$627</c:f>
              <c:numCache>
                <c:formatCode>General</c:formatCode>
                <c:ptCount val="48"/>
                <c:pt idx="3">
                  <c:v>1.85</c:v>
                </c:pt>
                <c:pt idx="11">
                  <c:v>1.7</c:v>
                </c:pt>
                <c:pt idx="18">
                  <c:v>1.72</c:v>
                </c:pt>
                <c:pt idx="24">
                  <c:v>1.9</c:v>
                </c:pt>
                <c:pt idx="32">
                  <c:v>2.1</c:v>
                </c:pt>
                <c:pt idx="35">
                  <c:v>1.94</c:v>
                </c:pt>
                <c:pt idx="39">
                  <c:v>2.1</c:v>
                </c:pt>
                <c:pt idx="46" formatCode="0.0">
                  <c:v>2</c:v>
                </c:pt>
              </c:numCache>
            </c:numRef>
          </c:yVal>
          <c:smooth val="1"/>
        </c:ser>
        <c:ser>
          <c:idx val="10"/>
          <c:order val="6"/>
          <c:tx>
            <c:v>osad przefermentowany-s.m.[%] bez enzymów II</c:v>
          </c:tx>
          <c:spPr>
            <a:ln w="2222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DANE!$V$628:$V$714</c:f>
              <c:numCache>
                <c:formatCode>General</c:formatCode>
                <c:ptCount val="87"/>
                <c:pt idx="5">
                  <c:v>2.1</c:v>
                </c:pt>
                <c:pt idx="53">
                  <c:v>1.84</c:v>
                </c:pt>
                <c:pt idx="67">
                  <c:v>2.09</c:v>
                </c:pt>
                <c:pt idx="74">
                  <c:v>2.0299999999999998</c:v>
                </c:pt>
                <c:pt idx="81">
                  <c:v>1.69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55136"/>
        <c:axId val="133355712"/>
      </c:scatterChart>
      <c:scatterChart>
        <c:scatterStyle val="smoothMarker"/>
        <c:varyColors val="0"/>
        <c:ser>
          <c:idx val="1"/>
          <c:order val="1"/>
          <c:tx>
            <c:v>osad surowy - s.m.o. [%]</c:v>
          </c:tx>
          <c:spPr>
            <a:ln>
              <a:solidFill>
                <a:srgbClr val="800000"/>
              </a:solidFill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DANE!$E$408:$E$714</c:f>
              <c:numCache>
                <c:formatCode>General</c:formatCode>
                <c:ptCount val="307"/>
                <c:pt idx="1">
                  <c:v>77.099999999999994</c:v>
                </c:pt>
                <c:pt idx="6">
                  <c:v>78</c:v>
                </c:pt>
                <c:pt idx="8">
                  <c:v>74.3</c:v>
                </c:pt>
                <c:pt idx="14">
                  <c:v>76.739999999999995</c:v>
                </c:pt>
                <c:pt idx="20">
                  <c:v>73.23</c:v>
                </c:pt>
                <c:pt idx="22">
                  <c:v>70.900000000000006</c:v>
                </c:pt>
                <c:pt idx="28">
                  <c:v>76.64</c:v>
                </c:pt>
                <c:pt idx="29">
                  <c:v>76.599999999999994</c:v>
                </c:pt>
                <c:pt idx="35">
                  <c:v>77.28</c:v>
                </c:pt>
                <c:pt idx="36">
                  <c:v>76.3</c:v>
                </c:pt>
                <c:pt idx="41">
                  <c:v>79.38</c:v>
                </c:pt>
                <c:pt idx="43">
                  <c:v>76.7</c:v>
                </c:pt>
                <c:pt idx="48">
                  <c:v>77.39</c:v>
                </c:pt>
                <c:pt idx="50">
                  <c:v>75.599999999999994</c:v>
                </c:pt>
                <c:pt idx="55">
                  <c:v>77.25</c:v>
                </c:pt>
                <c:pt idx="57">
                  <c:v>78.400000000000006</c:v>
                </c:pt>
                <c:pt idx="62">
                  <c:v>77.400000000000006</c:v>
                </c:pt>
                <c:pt idx="78">
                  <c:v>77.31</c:v>
                </c:pt>
                <c:pt idx="85">
                  <c:v>79.900000000000006</c:v>
                </c:pt>
                <c:pt idx="86">
                  <c:v>82.35</c:v>
                </c:pt>
                <c:pt idx="90">
                  <c:v>86.93</c:v>
                </c:pt>
                <c:pt idx="97" formatCode="0.00">
                  <c:v>74.962063732928613</c:v>
                </c:pt>
                <c:pt idx="99">
                  <c:v>77.099999999999994</c:v>
                </c:pt>
                <c:pt idx="104" formatCode="0.00">
                  <c:v>79.030303030303159</c:v>
                </c:pt>
                <c:pt idx="113" formatCode="0.00">
                  <c:v>73.994638069705161</c:v>
                </c:pt>
                <c:pt idx="117">
                  <c:v>80.7</c:v>
                </c:pt>
                <c:pt idx="120">
                  <c:v>75.599999999999994</c:v>
                </c:pt>
                <c:pt idx="121" formatCode="0.0">
                  <c:v>73.631840796019816</c:v>
                </c:pt>
                <c:pt idx="127" formatCode="0.00">
                  <c:v>72.068511198945941</c:v>
                </c:pt>
                <c:pt idx="129" formatCode="0.00">
                  <c:v>73.085106382978722</c:v>
                </c:pt>
                <c:pt idx="134">
                  <c:v>75.599999999999994</c:v>
                </c:pt>
                <c:pt idx="141">
                  <c:v>76</c:v>
                </c:pt>
                <c:pt idx="142" formatCode="0.00">
                  <c:v>73.351648351648379</c:v>
                </c:pt>
                <c:pt idx="148">
                  <c:v>77.8</c:v>
                </c:pt>
                <c:pt idx="155">
                  <c:v>78.900000000000006</c:v>
                </c:pt>
                <c:pt idx="160" formatCode="0.00">
                  <c:v>72.972972972972997</c:v>
                </c:pt>
                <c:pt idx="162">
                  <c:v>77.7</c:v>
                </c:pt>
                <c:pt idx="170">
                  <c:v>78.3</c:v>
                </c:pt>
                <c:pt idx="175">
                  <c:v>79.02</c:v>
                </c:pt>
                <c:pt idx="183">
                  <c:v>78</c:v>
                </c:pt>
                <c:pt idx="190">
                  <c:v>78.459999999999994</c:v>
                </c:pt>
                <c:pt idx="196">
                  <c:v>79</c:v>
                </c:pt>
                <c:pt idx="204">
                  <c:v>75</c:v>
                </c:pt>
                <c:pt idx="207">
                  <c:v>76.900000000000006</c:v>
                </c:pt>
                <c:pt idx="211">
                  <c:v>76</c:v>
                </c:pt>
                <c:pt idx="218">
                  <c:v>74.8</c:v>
                </c:pt>
                <c:pt idx="225">
                  <c:v>74.400000000000006</c:v>
                </c:pt>
                <c:pt idx="273">
                  <c:v>75.42</c:v>
                </c:pt>
                <c:pt idx="287">
                  <c:v>80.459999999999994</c:v>
                </c:pt>
                <c:pt idx="294">
                  <c:v>80.62</c:v>
                </c:pt>
                <c:pt idx="301">
                  <c:v>86.04</c:v>
                </c:pt>
              </c:numCache>
            </c:numRef>
          </c:yVal>
          <c:smooth val="1"/>
        </c:ser>
        <c:ser>
          <c:idx val="3"/>
          <c:order val="3"/>
          <c:tx>
            <c:v>osad przefermentowany  - s.m.o. [%] bez enzymów I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x"/>
            <c:size val="6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DANE!$W$408:$W$579</c:f>
              <c:numCache>
                <c:formatCode>General</c:formatCode>
                <c:ptCount val="172"/>
                <c:pt idx="1">
                  <c:v>65.5</c:v>
                </c:pt>
                <c:pt idx="6">
                  <c:v>66.62</c:v>
                </c:pt>
                <c:pt idx="8">
                  <c:v>65</c:v>
                </c:pt>
                <c:pt idx="14">
                  <c:v>66.930000000000007</c:v>
                </c:pt>
                <c:pt idx="20">
                  <c:v>66.86</c:v>
                </c:pt>
                <c:pt idx="22">
                  <c:v>65.5</c:v>
                </c:pt>
                <c:pt idx="28">
                  <c:v>68.38</c:v>
                </c:pt>
                <c:pt idx="29">
                  <c:v>66.7</c:v>
                </c:pt>
                <c:pt idx="35">
                  <c:v>67.5</c:v>
                </c:pt>
                <c:pt idx="36">
                  <c:v>66.8</c:v>
                </c:pt>
                <c:pt idx="41">
                  <c:v>68.44</c:v>
                </c:pt>
                <c:pt idx="43">
                  <c:v>66.599999999999994</c:v>
                </c:pt>
                <c:pt idx="48">
                  <c:v>68.099999999999994</c:v>
                </c:pt>
                <c:pt idx="50">
                  <c:v>67.5</c:v>
                </c:pt>
                <c:pt idx="55">
                  <c:v>66.55</c:v>
                </c:pt>
                <c:pt idx="57">
                  <c:v>67.8</c:v>
                </c:pt>
                <c:pt idx="62">
                  <c:v>66.16</c:v>
                </c:pt>
                <c:pt idx="78">
                  <c:v>66.819999999999993</c:v>
                </c:pt>
                <c:pt idx="85">
                  <c:v>65.8</c:v>
                </c:pt>
                <c:pt idx="86">
                  <c:v>62.63</c:v>
                </c:pt>
                <c:pt idx="90">
                  <c:v>71.03</c:v>
                </c:pt>
                <c:pt idx="97" formatCode="0.00">
                  <c:v>66.265060240963763</c:v>
                </c:pt>
                <c:pt idx="99">
                  <c:v>64.099999999999994</c:v>
                </c:pt>
                <c:pt idx="104" formatCode="0.00">
                  <c:v>65.795206971677743</c:v>
                </c:pt>
                <c:pt idx="113" formatCode="0.00">
                  <c:v>65.099009900990112</c:v>
                </c:pt>
                <c:pt idx="117">
                  <c:v>65</c:v>
                </c:pt>
                <c:pt idx="120">
                  <c:v>65.099999999999994</c:v>
                </c:pt>
                <c:pt idx="121" formatCode="0.0">
                  <c:v>65.09</c:v>
                </c:pt>
                <c:pt idx="127" formatCode="0.0">
                  <c:v>65.898617511520996</c:v>
                </c:pt>
                <c:pt idx="129" formatCode="0.0">
                  <c:v>65.447897623400081</c:v>
                </c:pt>
                <c:pt idx="134">
                  <c:v>63.4</c:v>
                </c:pt>
                <c:pt idx="141">
                  <c:v>64.5</c:v>
                </c:pt>
                <c:pt idx="142" formatCode="0.0">
                  <c:v>64.935064935064872</c:v>
                </c:pt>
                <c:pt idx="148">
                  <c:v>64.3</c:v>
                </c:pt>
                <c:pt idx="155">
                  <c:v>65.3</c:v>
                </c:pt>
                <c:pt idx="160" formatCode="0.0">
                  <c:v>63.901345291479579</c:v>
                </c:pt>
                <c:pt idx="162">
                  <c:v>64.8</c:v>
                </c:pt>
                <c:pt idx="170">
                  <c:v>65.8</c:v>
                </c:pt>
              </c:numCache>
            </c:numRef>
          </c:yVal>
          <c:smooth val="1"/>
        </c:ser>
        <c:ser>
          <c:idx val="9"/>
          <c:order val="5"/>
          <c:tx>
            <c:v>osad przefermentowany - s.m.o.[%]-enzymy20%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DANE!$W$580:$W$627</c:f>
              <c:numCache>
                <c:formatCode>General</c:formatCode>
                <c:ptCount val="48"/>
                <c:pt idx="3">
                  <c:v>66.08</c:v>
                </c:pt>
                <c:pt idx="11">
                  <c:v>64.599999999999994</c:v>
                </c:pt>
                <c:pt idx="18">
                  <c:v>65.16</c:v>
                </c:pt>
                <c:pt idx="24">
                  <c:v>67.099999999999994</c:v>
                </c:pt>
                <c:pt idx="32">
                  <c:v>67.3</c:v>
                </c:pt>
                <c:pt idx="35">
                  <c:v>66.7</c:v>
                </c:pt>
                <c:pt idx="39">
                  <c:v>68.3</c:v>
                </c:pt>
                <c:pt idx="46">
                  <c:v>66.2</c:v>
                </c:pt>
              </c:numCache>
            </c:numRef>
          </c:yVal>
          <c:smooth val="1"/>
        </c:ser>
        <c:ser>
          <c:idx val="11"/>
          <c:order val="7"/>
          <c:tx>
            <c:v>osad przefermentowany -s.m.o.[%] bez enzymów II</c:v>
          </c:tx>
          <c:spPr>
            <a:ln w="22225">
              <a:solidFill>
                <a:schemeClr val="accent3">
                  <a:lumMod val="75000"/>
                </a:schemeClr>
              </a:solidFill>
            </a:ln>
          </c:spPr>
          <c:marker>
            <c:symbol val="x"/>
            <c:size val="4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DANE!$W$628:$W$714</c:f>
              <c:numCache>
                <c:formatCode>General</c:formatCode>
                <c:ptCount val="87"/>
                <c:pt idx="5">
                  <c:v>68.099999999999994</c:v>
                </c:pt>
                <c:pt idx="53">
                  <c:v>66.03</c:v>
                </c:pt>
                <c:pt idx="67">
                  <c:v>73.680000000000007</c:v>
                </c:pt>
                <c:pt idx="74">
                  <c:v>67.349999999999994</c:v>
                </c:pt>
                <c:pt idx="81">
                  <c:v>68.040000000000006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56288"/>
        <c:axId val="133356864"/>
      </c:scatterChart>
      <c:valAx>
        <c:axId val="133355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33355712"/>
        <c:crosses val="autoZero"/>
        <c:crossBetween val="midCat"/>
        <c:majorUnit val="15"/>
      </c:valAx>
      <c:valAx>
        <c:axId val="133355712"/>
        <c:scaling>
          <c:orientation val="minMax"/>
          <c:max val="9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10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SUCHA MASA OSADU [%]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 sz="1800" b="1" i="0" strike="noStrike">
                  <a:solidFill>
                    <a:srgbClr val="000000"/>
                  </a:solidFill>
                  <a:latin typeface="Calibri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33355136"/>
        <c:crosses val="autoZero"/>
        <c:crossBetween val="midCat"/>
      </c:valAx>
      <c:valAx>
        <c:axId val="133356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3356864"/>
        <c:crosses val="autoZero"/>
        <c:crossBetween val="midCat"/>
      </c:valAx>
      <c:valAx>
        <c:axId val="133356864"/>
        <c:scaling>
          <c:orientation val="minMax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SUCHA MASA ORGANICZNA [% sm]</a:t>
                </a:r>
              </a:p>
            </c:rich>
          </c:tx>
          <c:layout>
            <c:manualLayout>
              <c:xMode val="edge"/>
              <c:yMode val="edge"/>
              <c:x val="0.95913450367885433"/>
              <c:y val="0.165992315223919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33356288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377442154201732E-2"/>
          <c:y val="0.86551016632059374"/>
          <c:w val="0.95901933445627385"/>
          <c:h val="0.13448983453870775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0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S.M. I S.M.O.-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TERMO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04262180538011E-2"/>
          <c:y val="6.2849530231697537E-2"/>
          <c:w val="0.84990309317138535"/>
          <c:h val="0.66974248062335695"/>
        </c:manualLayout>
      </c:layout>
      <c:scatterChart>
        <c:scatterStyle val="lineMarker"/>
        <c:varyColors val="0"/>
        <c:ser>
          <c:idx val="2"/>
          <c:order val="2"/>
          <c:tx>
            <c:v>osad przefermentowany - s.m. [%] bez enzymów I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DANE!$BG$408:$BG$579</c:f>
              <c:numCache>
                <c:formatCode>General</c:formatCode>
                <c:ptCount val="172"/>
                <c:pt idx="1">
                  <c:v>2.7</c:v>
                </c:pt>
                <c:pt idx="6">
                  <c:v>2.65</c:v>
                </c:pt>
                <c:pt idx="8">
                  <c:v>2.7</c:v>
                </c:pt>
                <c:pt idx="14">
                  <c:v>2.5299999999999998</c:v>
                </c:pt>
                <c:pt idx="20">
                  <c:v>2.5099999999999998</c:v>
                </c:pt>
                <c:pt idx="22">
                  <c:v>2.7</c:v>
                </c:pt>
                <c:pt idx="28">
                  <c:v>2.56</c:v>
                </c:pt>
                <c:pt idx="29">
                  <c:v>2.6</c:v>
                </c:pt>
                <c:pt idx="35">
                  <c:v>2.59</c:v>
                </c:pt>
                <c:pt idx="36">
                  <c:v>2.6</c:v>
                </c:pt>
                <c:pt idx="41">
                  <c:v>2.5499999999999998</c:v>
                </c:pt>
                <c:pt idx="43">
                  <c:v>2.5</c:v>
                </c:pt>
                <c:pt idx="48">
                  <c:v>2.6</c:v>
                </c:pt>
                <c:pt idx="50">
                  <c:v>2.6</c:v>
                </c:pt>
                <c:pt idx="55">
                  <c:v>2.4900000000000002</c:v>
                </c:pt>
                <c:pt idx="57">
                  <c:v>2.2999999999999998</c:v>
                </c:pt>
                <c:pt idx="62">
                  <c:v>2.1800000000000002</c:v>
                </c:pt>
                <c:pt idx="78">
                  <c:v>2.16</c:v>
                </c:pt>
                <c:pt idx="85">
                  <c:v>1.7</c:v>
                </c:pt>
                <c:pt idx="86">
                  <c:v>1.54</c:v>
                </c:pt>
                <c:pt idx="90">
                  <c:v>1.85</c:v>
                </c:pt>
                <c:pt idx="97" formatCode="0.00">
                  <c:v>1.7382906808305199</c:v>
                </c:pt>
                <c:pt idx="99">
                  <c:v>1.6</c:v>
                </c:pt>
                <c:pt idx="104" formatCode="0.00">
                  <c:v>1.6575653444361831</c:v>
                </c:pt>
                <c:pt idx="113" formatCode="0.00">
                  <c:v>1.6615941432919275</c:v>
                </c:pt>
                <c:pt idx="117">
                  <c:v>1.7</c:v>
                </c:pt>
                <c:pt idx="120">
                  <c:v>1.7</c:v>
                </c:pt>
                <c:pt idx="121" formatCode="0.00">
                  <c:v>1.7484042342306609</c:v>
                </c:pt>
                <c:pt idx="127" formatCode="0.00">
                  <c:v>1.7772192801364239</c:v>
                </c:pt>
                <c:pt idx="129" formatCode="0.00">
                  <c:v>1.7245501823181248</c:v>
                </c:pt>
                <c:pt idx="134">
                  <c:v>1.8</c:v>
                </c:pt>
                <c:pt idx="141">
                  <c:v>1.8</c:v>
                </c:pt>
                <c:pt idx="142" formatCode="0.0">
                  <c:v>1.8382789905312844</c:v>
                </c:pt>
                <c:pt idx="148">
                  <c:v>1.8</c:v>
                </c:pt>
                <c:pt idx="155">
                  <c:v>1.8</c:v>
                </c:pt>
                <c:pt idx="160" formatCode="0.00">
                  <c:v>1.6984725407128161</c:v>
                </c:pt>
                <c:pt idx="162">
                  <c:v>1.9</c:v>
                </c:pt>
                <c:pt idx="170">
                  <c:v>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40128"/>
        <c:axId val="133640704"/>
      </c:scatterChart>
      <c:scatterChart>
        <c:scatterStyle val="smoothMarker"/>
        <c:varyColors val="0"/>
        <c:ser>
          <c:idx val="0"/>
          <c:order val="0"/>
          <c:tx>
            <c:v>osad surowy - s.m. [%]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FF505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DANE!$D$408:$D$714</c:f>
              <c:numCache>
                <c:formatCode>General</c:formatCode>
                <c:ptCount val="307"/>
                <c:pt idx="1">
                  <c:v>3.8</c:v>
                </c:pt>
                <c:pt idx="6">
                  <c:v>3.32</c:v>
                </c:pt>
                <c:pt idx="8">
                  <c:v>3.4</c:v>
                </c:pt>
                <c:pt idx="14">
                  <c:v>3.32</c:v>
                </c:pt>
                <c:pt idx="20">
                  <c:v>2.91</c:v>
                </c:pt>
                <c:pt idx="22">
                  <c:v>3.1</c:v>
                </c:pt>
                <c:pt idx="28">
                  <c:v>2.98</c:v>
                </c:pt>
                <c:pt idx="29">
                  <c:v>3.7</c:v>
                </c:pt>
                <c:pt idx="35">
                  <c:v>3.22</c:v>
                </c:pt>
                <c:pt idx="36">
                  <c:v>3.2</c:v>
                </c:pt>
                <c:pt idx="41">
                  <c:v>3.96</c:v>
                </c:pt>
                <c:pt idx="43">
                  <c:v>3.7</c:v>
                </c:pt>
                <c:pt idx="48">
                  <c:v>3.17</c:v>
                </c:pt>
                <c:pt idx="50">
                  <c:v>3.1</c:v>
                </c:pt>
                <c:pt idx="55">
                  <c:v>2.77</c:v>
                </c:pt>
                <c:pt idx="57">
                  <c:v>2.7</c:v>
                </c:pt>
                <c:pt idx="62">
                  <c:v>2.4900000000000002</c:v>
                </c:pt>
                <c:pt idx="78">
                  <c:v>2.57</c:v>
                </c:pt>
                <c:pt idx="85">
                  <c:v>1.6</c:v>
                </c:pt>
                <c:pt idx="86">
                  <c:v>2.1800000000000002</c:v>
                </c:pt>
                <c:pt idx="90">
                  <c:v>2.42</c:v>
                </c:pt>
                <c:pt idx="97" formatCode="0.00">
                  <c:v>3.2166739883828783</c:v>
                </c:pt>
                <c:pt idx="99">
                  <c:v>3.1</c:v>
                </c:pt>
                <c:pt idx="104" formatCode="0.00">
                  <c:v>2.4396013839193307</c:v>
                </c:pt>
                <c:pt idx="113" formatCode="0.00">
                  <c:v>2.7183616951499499</c:v>
                </c:pt>
                <c:pt idx="117">
                  <c:v>2.8</c:v>
                </c:pt>
                <c:pt idx="120">
                  <c:v>2.8</c:v>
                </c:pt>
                <c:pt idx="121" formatCode="0.0">
                  <c:v>3.5169065220244047</c:v>
                </c:pt>
                <c:pt idx="127" formatCode="0.00">
                  <c:v>3.061101028433153</c:v>
                </c:pt>
                <c:pt idx="129" formatCode="0.00">
                  <c:v>3.0260108163790904</c:v>
                </c:pt>
                <c:pt idx="134">
                  <c:v>2.9</c:v>
                </c:pt>
                <c:pt idx="141">
                  <c:v>2.4</c:v>
                </c:pt>
                <c:pt idx="142" formatCode="0.00">
                  <c:v>2.5455435504737931</c:v>
                </c:pt>
                <c:pt idx="148">
                  <c:v>3.2</c:v>
                </c:pt>
                <c:pt idx="155">
                  <c:v>3.4</c:v>
                </c:pt>
                <c:pt idx="160" formatCode="0.00">
                  <c:v>3.0945510810019679</c:v>
                </c:pt>
                <c:pt idx="162">
                  <c:v>2.6</c:v>
                </c:pt>
                <c:pt idx="170">
                  <c:v>2.2000000000000002</c:v>
                </c:pt>
                <c:pt idx="175">
                  <c:v>2.7</c:v>
                </c:pt>
                <c:pt idx="183">
                  <c:v>2.8</c:v>
                </c:pt>
                <c:pt idx="190">
                  <c:v>3.58</c:v>
                </c:pt>
                <c:pt idx="196">
                  <c:v>3.9</c:v>
                </c:pt>
                <c:pt idx="204">
                  <c:v>3.3</c:v>
                </c:pt>
                <c:pt idx="207">
                  <c:v>2.9</c:v>
                </c:pt>
                <c:pt idx="211">
                  <c:v>3.1</c:v>
                </c:pt>
                <c:pt idx="218">
                  <c:v>3.1</c:v>
                </c:pt>
                <c:pt idx="225">
                  <c:v>2.9</c:v>
                </c:pt>
                <c:pt idx="273">
                  <c:v>3.24</c:v>
                </c:pt>
                <c:pt idx="287">
                  <c:v>2.74</c:v>
                </c:pt>
                <c:pt idx="294">
                  <c:v>2.84</c:v>
                </c:pt>
                <c:pt idx="301">
                  <c:v>2.62</c:v>
                </c:pt>
              </c:numCache>
            </c:numRef>
          </c:yVal>
          <c:smooth val="1"/>
        </c:ser>
        <c:ser>
          <c:idx val="8"/>
          <c:order val="4"/>
          <c:tx>
            <c:v>osad przefermentowany -s.m.[%] -enzymy20%</c:v>
          </c:tx>
          <c:spPr>
            <a:ln w="22225"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DANE!$V$580:$V$627</c:f>
              <c:numCache>
                <c:formatCode>General</c:formatCode>
                <c:ptCount val="48"/>
                <c:pt idx="3">
                  <c:v>1.85</c:v>
                </c:pt>
                <c:pt idx="11">
                  <c:v>1.7</c:v>
                </c:pt>
                <c:pt idx="18">
                  <c:v>1.72</c:v>
                </c:pt>
                <c:pt idx="24">
                  <c:v>1.9</c:v>
                </c:pt>
                <c:pt idx="32">
                  <c:v>2.1</c:v>
                </c:pt>
                <c:pt idx="35">
                  <c:v>1.94</c:v>
                </c:pt>
                <c:pt idx="39">
                  <c:v>2.1</c:v>
                </c:pt>
                <c:pt idx="46" formatCode="0.0">
                  <c:v>2</c:v>
                </c:pt>
              </c:numCache>
            </c:numRef>
          </c:yVal>
          <c:smooth val="1"/>
        </c:ser>
        <c:ser>
          <c:idx val="12"/>
          <c:order val="6"/>
          <c:tx>
            <c:v>osad przefermentowany-s.m.[%] bez enzymów II</c:v>
          </c:tx>
          <c:spPr>
            <a:ln w="22225">
              <a:solidFill>
                <a:schemeClr val="accent2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DANE!$V$628:$V$714</c:f>
              <c:numCache>
                <c:formatCode>General</c:formatCode>
                <c:ptCount val="87"/>
                <c:pt idx="5">
                  <c:v>2.1</c:v>
                </c:pt>
                <c:pt idx="53">
                  <c:v>1.84</c:v>
                </c:pt>
                <c:pt idx="67">
                  <c:v>2.09</c:v>
                </c:pt>
                <c:pt idx="74">
                  <c:v>2.0299999999999998</c:v>
                </c:pt>
                <c:pt idx="81">
                  <c:v>1.69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40128"/>
        <c:axId val="133640704"/>
      </c:scatterChart>
      <c:scatterChart>
        <c:scatterStyle val="smoothMarker"/>
        <c:varyColors val="0"/>
        <c:ser>
          <c:idx val="1"/>
          <c:order val="1"/>
          <c:tx>
            <c:v>osad surowy - s.m.o. [%]</c:v>
          </c:tx>
          <c:spPr>
            <a:ln>
              <a:solidFill>
                <a:srgbClr val="800000"/>
              </a:solidFill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DANE!$E$408:$E$714</c:f>
              <c:numCache>
                <c:formatCode>General</c:formatCode>
                <c:ptCount val="307"/>
                <c:pt idx="1">
                  <c:v>77.099999999999994</c:v>
                </c:pt>
                <c:pt idx="6">
                  <c:v>78</c:v>
                </c:pt>
                <c:pt idx="8">
                  <c:v>74.3</c:v>
                </c:pt>
                <c:pt idx="14">
                  <c:v>76.739999999999995</c:v>
                </c:pt>
                <c:pt idx="20">
                  <c:v>73.23</c:v>
                </c:pt>
                <c:pt idx="22">
                  <c:v>70.900000000000006</c:v>
                </c:pt>
                <c:pt idx="28">
                  <c:v>76.64</c:v>
                </c:pt>
                <c:pt idx="29">
                  <c:v>76.599999999999994</c:v>
                </c:pt>
                <c:pt idx="35">
                  <c:v>77.28</c:v>
                </c:pt>
                <c:pt idx="36">
                  <c:v>76.3</c:v>
                </c:pt>
                <c:pt idx="41">
                  <c:v>79.38</c:v>
                </c:pt>
                <c:pt idx="43">
                  <c:v>76.7</c:v>
                </c:pt>
                <c:pt idx="48">
                  <c:v>77.39</c:v>
                </c:pt>
                <c:pt idx="50">
                  <c:v>75.599999999999994</c:v>
                </c:pt>
                <c:pt idx="55">
                  <c:v>77.25</c:v>
                </c:pt>
                <c:pt idx="57">
                  <c:v>78.400000000000006</c:v>
                </c:pt>
                <c:pt idx="62">
                  <c:v>77.400000000000006</c:v>
                </c:pt>
                <c:pt idx="78">
                  <c:v>77.31</c:v>
                </c:pt>
                <c:pt idx="85">
                  <c:v>79.900000000000006</c:v>
                </c:pt>
                <c:pt idx="86">
                  <c:v>82.35</c:v>
                </c:pt>
                <c:pt idx="90">
                  <c:v>86.93</c:v>
                </c:pt>
                <c:pt idx="97" formatCode="0.00">
                  <c:v>74.962063732928613</c:v>
                </c:pt>
                <c:pt idx="99">
                  <c:v>77.099999999999994</c:v>
                </c:pt>
                <c:pt idx="104" formatCode="0.00">
                  <c:v>79.030303030303159</c:v>
                </c:pt>
                <c:pt idx="113" formatCode="0.00">
                  <c:v>73.994638069705161</c:v>
                </c:pt>
                <c:pt idx="117">
                  <c:v>80.7</c:v>
                </c:pt>
                <c:pt idx="120">
                  <c:v>75.599999999999994</c:v>
                </c:pt>
                <c:pt idx="121" formatCode="0.0">
                  <c:v>73.631840796019816</c:v>
                </c:pt>
                <c:pt idx="127" formatCode="0.00">
                  <c:v>72.068511198945941</c:v>
                </c:pt>
                <c:pt idx="129" formatCode="0.00">
                  <c:v>73.085106382978722</c:v>
                </c:pt>
                <c:pt idx="134">
                  <c:v>75.599999999999994</c:v>
                </c:pt>
                <c:pt idx="141">
                  <c:v>76</c:v>
                </c:pt>
                <c:pt idx="142" formatCode="0.00">
                  <c:v>73.351648351648379</c:v>
                </c:pt>
                <c:pt idx="148">
                  <c:v>77.8</c:v>
                </c:pt>
                <c:pt idx="155">
                  <c:v>78.900000000000006</c:v>
                </c:pt>
                <c:pt idx="160" formatCode="0.00">
                  <c:v>72.972972972972997</c:v>
                </c:pt>
                <c:pt idx="162">
                  <c:v>77.7</c:v>
                </c:pt>
                <c:pt idx="170">
                  <c:v>78.3</c:v>
                </c:pt>
                <c:pt idx="175">
                  <c:v>79.02</c:v>
                </c:pt>
                <c:pt idx="183">
                  <c:v>78</c:v>
                </c:pt>
                <c:pt idx="190">
                  <c:v>78.459999999999994</c:v>
                </c:pt>
                <c:pt idx="196">
                  <c:v>79</c:v>
                </c:pt>
                <c:pt idx="204">
                  <c:v>75</c:v>
                </c:pt>
                <c:pt idx="207">
                  <c:v>76.900000000000006</c:v>
                </c:pt>
                <c:pt idx="211">
                  <c:v>76</c:v>
                </c:pt>
                <c:pt idx="218">
                  <c:v>74.8</c:v>
                </c:pt>
                <c:pt idx="225">
                  <c:v>74.400000000000006</c:v>
                </c:pt>
                <c:pt idx="273">
                  <c:v>75.42</c:v>
                </c:pt>
                <c:pt idx="287">
                  <c:v>80.459999999999994</c:v>
                </c:pt>
                <c:pt idx="294">
                  <c:v>80.62</c:v>
                </c:pt>
                <c:pt idx="301">
                  <c:v>86.04</c:v>
                </c:pt>
              </c:numCache>
            </c:numRef>
          </c:yVal>
          <c:smooth val="1"/>
        </c:ser>
        <c:ser>
          <c:idx val="3"/>
          <c:order val="3"/>
          <c:tx>
            <c:v>osad przefermentowany  - s.m.o. [%] bez enzymów I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x"/>
            <c:size val="6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DANE!$BH$408:$BH$579</c:f>
              <c:numCache>
                <c:formatCode>General</c:formatCode>
                <c:ptCount val="172"/>
                <c:pt idx="1">
                  <c:v>64</c:v>
                </c:pt>
                <c:pt idx="6">
                  <c:v>60.72</c:v>
                </c:pt>
                <c:pt idx="8">
                  <c:v>62.6</c:v>
                </c:pt>
                <c:pt idx="14">
                  <c:v>62.37</c:v>
                </c:pt>
                <c:pt idx="20">
                  <c:v>64.37</c:v>
                </c:pt>
                <c:pt idx="22">
                  <c:v>61.6</c:v>
                </c:pt>
                <c:pt idx="28">
                  <c:v>61.39</c:v>
                </c:pt>
                <c:pt idx="29">
                  <c:v>61.6</c:v>
                </c:pt>
                <c:pt idx="35">
                  <c:v>60.76</c:v>
                </c:pt>
                <c:pt idx="36">
                  <c:v>62.1</c:v>
                </c:pt>
                <c:pt idx="41">
                  <c:v>61.54</c:v>
                </c:pt>
                <c:pt idx="43">
                  <c:v>64.400000000000006</c:v>
                </c:pt>
                <c:pt idx="48">
                  <c:v>61.31</c:v>
                </c:pt>
                <c:pt idx="50">
                  <c:v>62.3</c:v>
                </c:pt>
                <c:pt idx="55">
                  <c:v>61.68</c:v>
                </c:pt>
                <c:pt idx="57">
                  <c:v>64.5</c:v>
                </c:pt>
                <c:pt idx="62">
                  <c:v>64.94</c:v>
                </c:pt>
                <c:pt idx="78">
                  <c:v>66.92</c:v>
                </c:pt>
                <c:pt idx="85">
                  <c:v>66</c:v>
                </c:pt>
                <c:pt idx="86">
                  <c:v>61.21</c:v>
                </c:pt>
                <c:pt idx="90">
                  <c:v>64.709999999999994</c:v>
                </c:pt>
                <c:pt idx="97" formatCode="0.00">
                  <c:v>64.898989898989598</c:v>
                </c:pt>
                <c:pt idx="99">
                  <c:v>64.400000000000006</c:v>
                </c:pt>
                <c:pt idx="104" formatCode="0.00">
                  <c:v>66.798418972332456</c:v>
                </c:pt>
                <c:pt idx="113" formatCode="0.00">
                  <c:v>63.366336633663551</c:v>
                </c:pt>
                <c:pt idx="117">
                  <c:v>64.400000000000006</c:v>
                </c:pt>
                <c:pt idx="120">
                  <c:v>64.5</c:v>
                </c:pt>
                <c:pt idx="121" formatCode="0.00">
                  <c:v>64.625850340135969</c:v>
                </c:pt>
                <c:pt idx="127" formatCode="0.00">
                  <c:v>63.636363636363505</c:v>
                </c:pt>
                <c:pt idx="129" formatCode="0.00">
                  <c:v>64.991334488735049</c:v>
                </c:pt>
                <c:pt idx="134">
                  <c:v>62.2</c:v>
                </c:pt>
                <c:pt idx="141">
                  <c:v>64.099999999999994</c:v>
                </c:pt>
                <c:pt idx="142" formatCode="0.0">
                  <c:v>64.008620689654947</c:v>
                </c:pt>
                <c:pt idx="148">
                  <c:v>63.6</c:v>
                </c:pt>
                <c:pt idx="155">
                  <c:v>63.5</c:v>
                </c:pt>
                <c:pt idx="160" formatCode="0.00">
                  <c:v>63.615560640732227</c:v>
                </c:pt>
                <c:pt idx="162">
                  <c:v>62.5</c:v>
                </c:pt>
                <c:pt idx="170">
                  <c:v>61</c:v>
                </c:pt>
              </c:numCache>
            </c:numRef>
          </c:yVal>
          <c:smooth val="1"/>
        </c:ser>
        <c:ser>
          <c:idx val="9"/>
          <c:order val="5"/>
          <c:tx>
            <c:v>osad przefermentowany-s.m.o.[%] -enzymy20%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DANE!$W$580:$W$627</c:f>
              <c:numCache>
                <c:formatCode>General</c:formatCode>
                <c:ptCount val="48"/>
                <c:pt idx="3">
                  <c:v>66.08</c:v>
                </c:pt>
                <c:pt idx="11">
                  <c:v>64.599999999999994</c:v>
                </c:pt>
                <c:pt idx="18">
                  <c:v>65.16</c:v>
                </c:pt>
                <c:pt idx="24">
                  <c:v>67.099999999999994</c:v>
                </c:pt>
                <c:pt idx="32">
                  <c:v>67.3</c:v>
                </c:pt>
                <c:pt idx="35">
                  <c:v>66.7</c:v>
                </c:pt>
                <c:pt idx="39">
                  <c:v>68.3</c:v>
                </c:pt>
                <c:pt idx="46">
                  <c:v>66.2</c:v>
                </c:pt>
              </c:numCache>
            </c:numRef>
          </c:yVal>
          <c:smooth val="1"/>
        </c:ser>
        <c:ser>
          <c:idx val="13"/>
          <c:order val="7"/>
          <c:tx>
            <c:v>osad przefermentowany-s.m.o.[%] bez enzymów II</c:v>
          </c:tx>
          <c:spPr>
            <a:ln w="22225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DANE!$W$628:$W$714</c:f>
              <c:numCache>
                <c:formatCode>General</c:formatCode>
                <c:ptCount val="87"/>
                <c:pt idx="5">
                  <c:v>68.099999999999994</c:v>
                </c:pt>
                <c:pt idx="53">
                  <c:v>66.03</c:v>
                </c:pt>
                <c:pt idx="67">
                  <c:v>73.680000000000007</c:v>
                </c:pt>
                <c:pt idx="74">
                  <c:v>67.349999999999994</c:v>
                </c:pt>
                <c:pt idx="81">
                  <c:v>68.040000000000006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41280"/>
        <c:axId val="133641856"/>
      </c:scatterChart>
      <c:valAx>
        <c:axId val="133640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33640704"/>
        <c:crosses val="autoZero"/>
        <c:crossBetween val="midCat"/>
        <c:majorUnit val="15"/>
      </c:valAx>
      <c:valAx>
        <c:axId val="133640704"/>
        <c:scaling>
          <c:orientation val="minMax"/>
          <c:max val="9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10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SUCHA MASA OSADU [%]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 sz="1800" b="1" i="0" strike="noStrike">
                  <a:solidFill>
                    <a:srgbClr val="000000"/>
                  </a:solidFill>
                  <a:latin typeface="Calibri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33640128"/>
        <c:crosses val="autoZero"/>
        <c:crossBetween val="midCat"/>
      </c:valAx>
      <c:valAx>
        <c:axId val="133641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3641856"/>
        <c:crosses val="autoZero"/>
        <c:crossBetween val="midCat"/>
      </c:valAx>
      <c:valAx>
        <c:axId val="133641856"/>
        <c:scaling>
          <c:orientation val="minMax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SUCHA MASA ORGANICZNA [% sm]</a:t>
                </a:r>
              </a:p>
            </c:rich>
          </c:tx>
          <c:layout>
            <c:manualLayout>
              <c:xMode val="edge"/>
              <c:yMode val="edge"/>
              <c:x val="0.95913450367885433"/>
              <c:y val="0.165992315223919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33641280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8742629867512285E-2"/>
          <c:y val="0.86968775454792291"/>
          <c:w val="0.96125737097601793"/>
          <c:h val="0.1303122454520771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0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REDUKCJE S.M. I S.M.O.-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MEZO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755932385584907E-2"/>
          <c:y val="5.8671984539791527E-2"/>
          <c:w val="0.81167778673113078"/>
          <c:h val="0.70942916469644945"/>
        </c:manualLayout>
      </c:layout>
      <c:scatterChart>
        <c:scatterStyle val="smoothMarker"/>
        <c:varyColors val="0"/>
        <c:ser>
          <c:idx val="0"/>
          <c:order val="0"/>
          <c:tx>
            <c:v>REDUKCJA  s.m. [%] bez enzymów I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FF5050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DANE!$AG$408:$AG$579</c:f>
              <c:numCache>
                <c:formatCode>0.0</c:formatCode>
                <c:ptCount val="172"/>
                <c:pt idx="1">
                  <c:v>30.188405797101471</c:v>
                </c:pt>
                <c:pt idx="6">
                  <c:v>29.080287597363718</c:v>
                </c:pt>
                <c:pt idx="8">
                  <c:v>31.651428571428575</c:v>
                </c:pt>
                <c:pt idx="14">
                  <c:v>28.309646205019646</c:v>
                </c:pt>
                <c:pt idx="20">
                  <c:v>27.866626433313215</c:v>
                </c:pt>
                <c:pt idx="22">
                  <c:v>28.828985507246372</c:v>
                </c:pt>
                <c:pt idx="28">
                  <c:v>22.991777356103761</c:v>
                </c:pt>
                <c:pt idx="29">
                  <c:v>27.43543543543543</c:v>
                </c:pt>
                <c:pt idx="35">
                  <c:v>25.889230769230775</c:v>
                </c:pt>
                <c:pt idx="36">
                  <c:v>26.834337349397565</c:v>
                </c:pt>
                <c:pt idx="41">
                  <c:v>23.754752851710982</c:v>
                </c:pt>
                <c:pt idx="43">
                  <c:v>27.565868263473025</c:v>
                </c:pt>
                <c:pt idx="48">
                  <c:v>25.12852664576808</c:v>
                </c:pt>
                <c:pt idx="50">
                  <c:v>26.159999999999982</c:v>
                </c:pt>
                <c:pt idx="55">
                  <c:v>29.45889387144992</c:v>
                </c:pt>
                <c:pt idx="57">
                  <c:v>29.049689440993788</c:v>
                </c:pt>
                <c:pt idx="62">
                  <c:v>32.712765957446791</c:v>
                </c:pt>
                <c:pt idx="78">
                  <c:v>31.588306208559391</c:v>
                </c:pt>
                <c:pt idx="85">
                  <c:v>34.394736842105232</c:v>
                </c:pt>
                <c:pt idx="86">
                  <c:v>41.578806529301545</c:v>
                </c:pt>
                <c:pt idx="90">
                  <c:v>27.245426303072151</c:v>
                </c:pt>
                <c:pt idx="97">
                  <c:v>37.006576035118265</c:v>
                </c:pt>
                <c:pt idx="99">
                  <c:v>40.724808839255864</c:v>
                </c:pt>
                <c:pt idx="104">
                  <c:v>38.789972193836164</c:v>
                </c:pt>
                <c:pt idx="113">
                  <c:v>39.078234008869806</c:v>
                </c:pt>
                <c:pt idx="117">
                  <c:v>39.907715666553379</c:v>
                </c:pt>
                <c:pt idx="120">
                  <c:v>39.219772158434651</c:v>
                </c:pt>
                <c:pt idx="121">
                  <c:v>38.183570790305566</c:v>
                </c:pt>
                <c:pt idx="127">
                  <c:v>34.421238421154719</c:v>
                </c:pt>
                <c:pt idx="129">
                  <c:v>32.595263162091612</c:v>
                </c:pt>
                <c:pt idx="134">
                  <c:v>33.271164811716268</c:v>
                </c:pt>
                <c:pt idx="141">
                  <c:v>31.495887176888125</c:v>
                </c:pt>
                <c:pt idx="142">
                  <c:v>29.576954381034547</c:v>
                </c:pt>
                <c:pt idx="148">
                  <c:v>30.485082576834234</c:v>
                </c:pt>
                <c:pt idx="155">
                  <c:v>29.895419806799104</c:v>
                </c:pt>
                <c:pt idx="160">
                  <c:v>30.47111524679821</c:v>
                </c:pt>
                <c:pt idx="162">
                  <c:v>29.292636279138062</c:v>
                </c:pt>
                <c:pt idx="170">
                  <c:v>28.59012833524741</c:v>
                </c:pt>
              </c:numCache>
            </c:numRef>
          </c:yVal>
          <c:smooth val="1"/>
        </c:ser>
        <c:ser>
          <c:idx val="2"/>
          <c:order val="1"/>
          <c:tx>
            <c:v>REDUKCJA  smo [%] bez enzymów I</c:v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DANE!$AJ$408:$AJ$579</c:f>
              <c:numCache>
                <c:formatCode>0.0</c:formatCode>
                <c:ptCount val="172"/>
                <c:pt idx="1">
                  <c:v>39.766061775803813</c:v>
                </c:pt>
                <c:pt idx="6">
                  <c:v>38.099607736926274</c:v>
                </c:pt>
                <c:pt idx="8">
                  <c:v>41.603917783628091</c:v>
                </c:pt>
                <c:pt idx="14">
                  <c:v>37.106965612409752</c:v>
                </c:pt>
                <c:pt idx="20">
                  <c:v>36.620837680942522</c:v>
                </c:pt>
                <c:pt idx="22">
                  <c:v>38.211416784516572</c:v>
                </c:pt>
                <c:pt idx="28">
                  <c:v>30.392303180573379</c:v>
                </c:pt>
                <c:pt idx="29">
                  <c:v>36.177324008960689</c:v>
                </c:pt>
                <c:pt idx="35">
                  <c:v>34.103367981177087</c:v>
                </c:pt>
                <c:pt idx="36">
                  <c:v>35.444052027364734</c:v>
                </c:pt>
                <c:pt idx="41">
                  <c:v>31.282185037216358</c:v>
                </c:pt>
                <c:pt idx="43">
                  <c:v>36.363222741267997</c:v>
                </c:pt>
                <c:pt idx="48">
                  <c:v>33.013461881559827</c:v>
                </c:pt>
                <c:pt idx="50">
                  <c:v>34.420146838241081</c:v>
                </c:pt>
                <c:pt idx="55">
                  <c:v>38.556742934204912</c:v>
                </c:pt>
                <c:pt idx="57">
                  <c:v>37.651566271345345</c:v>
                </c:pt>
                <c:pt idx="62">
                  <c:v>42.357588964711624</c:v>
                </c:pt>
                <c:pt idx="78">
                  <c:v>40.864033076621766</c:v>
                </c:pt>
                <c:pt idx="85">
                  <c:v>44.344258012332219</c:v>
                </c:pt>
                <c:pt idx="86">
                  <c:v>53.191595703230938</c:v>
                </c:pt>
                <c:pt idx="90">
                  <c:v>34.521528962497811</c:v>
                </c:pt>
                <c:pt idx="97">
                  <c:v>46.992951090449004</c:v>
                </c:pt>
                <c:pt idx="99">
                  <c:v>51.733615440663321</c:v>
                </c:pt>
                <c:pt idx="104">
                  <c:v>49.061958281114087</c:v>
                </c:pt>
                <c:pt idx="113">
                  <c:v>49.630905867210728</c:v>
                </c:pt>
                <c:pt idx="117">
                  <c:v>50.536757968526913</c:v>
                </c:pt>
                <c:pt idx="120">
                  <c:v>49.779054240516764</c:v>
                </c:pt>
                <c:pt idx="121">
                  <c:v>48.691184644222361</c:v>
                </c:pt>
                <c:pt idx="127">
                  <c:v>44.336277302788346</c:v>
                </c:pt>
                <c:pt idx="129">
                  <c:v>42.491407243899005</c:v>
                </c:pt>
                <c:pt idx="134">
                  <c:v>44.022726986326688</c:v>
                </c:pt>
                <c:pt idx="141">
                  <c:v>41.616615203245047</c:v>
                </c:pt>
                <c:pt idx="142">
                  <c:v>39.275587537943572</c:v>
                </c:pt>
                <c:pt idx="148">
                  <c:v>40.547745938783464</c:v>
                </c:pt>
                <c:pt idx="155">
                  <c:v>39.505687696482589</c:v>
                </c:pt>
                <c:pt idx="160">
                  <c:v>40.681849380315924</c:v>
                </c:pt>
                <c:pt idx="162">
                  <c:v>38.999125521971067</c:v>
                </c:pt>
                <c:pt idx="170">
                  <c:v>37.828726554248746</c:v>
                </c:pt>
              </c:numCache>
            </c:numRef>
          </c:yVal>
          <c:smooth val="1"/>
        </c:ser>
        <c:ser>
          <c:idx val="6"/>
          <c:order val="2"/>
          <c:tx>
            <c:v>REDUKCJA s.m.[%]-eznymy20%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DANE!$AG$580:$AG$627</c:f>
              <c:numCache>
                <c:formatCode>General</c:formatCode>
                <c:ptCount val="48"/>
                <c:pt idx="3" formatCode="0.0">
                  <c:v>30.050037649646242</c:v>
                </c:pt>
                <c:pt idx="11" formatCode="0.0">
                  <c:v>34.362887379836572</c:v>
                </c:pt>
                <c:pt idx="18" formatCode="0.0">
                  <c:v>34.128766166653691</c:v>
                </c:pt>
                <c:pt idx="24" formatCode="0.0">
                  <c:v>31.156419855508044</c:v>
                </c:pt>
                <c:pt idx="32" formatCode="0.0">
                  <c:v>31.239441276138567</c:v>
                </c:pt>
                <c:pt idx="35" formatCode="0.0">
                  <c:v>32.208099991883799</c:v>
                </c:pt>
                <c:pt idx="39" formatCode="0.0">
                  <c:v>27.871600306931555</c:v>
                </c:pt>
                <c:pt idx="46" formatCode="0.0">
                  <c:v>32.893491124260343</c:v>
                </c:pt>
              </c:numCache>
            </c:numRef>
          </c:yVal>
          <c:smooth val="1"/>
        </c:ser>
        <c:ser>
          <c:idx val="7"/>
          <c:order val="3"/>
          <c:tx>
            <c:v>REDUKCJA smo[%]-enzymy20%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DANE!$AJ$580:$AJ$627</c:f>
              <c:numCache>
                <c:formatCode>General</c:formatCode>
                <c:ptCount val="48"/>
                <c:pt idx="3" formatCode="0.0">
                  <c:v>39.398015519812311</c:v>
                </c:pt>
                <c:pt idx="11" formatCode="0.0">
                  <c:v>44.764056733102812</c:v>
                </c:pt>
                <c:pt idx="18" formatCode="0.0">
                  <c:v>44.294044736527148</c:v>
                </c:pt>
                <c:pt idx="24" formatCode="0.0">
                  <c:v>40.279552308495433</c:v>
                </c:pt>
                <c:pt idx="32" formatCode="0.0">
                  <c:v>40.301001693026826</c:v>
                </c:pt>
                <c:pt idx="35" formatCode="0.0">
                  <c:v>41.598936156759308</c:v>
                </c:pt>
                <c:pt idx="39" formatCode="0.0">
                  <c:v>36.133393249925454</c:v>
                </c:pt>
                <c:pt idx="46" formatCode="0.0">
                  <c:v>42.543122072816601</c:v>
                </c:pt>
              </c:numCache>
            </c:numRef>
          </c:yVal>
          <c:smooth val="1"/>
        </c:ser>
        <c:ser>
          <c:idx val="8"/>
          <c:order val="4"/>
          <c:tx>
            <c:v>REDUKCJA sm[%] bez enzymów II</c:v>
          </c:tx>
          <c:spPr>
            <a:ln w="2222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DANE!$AG$628:$AG$714</c:f>
              <c:numCache>
                <c:formatCode>General</c:formatCode>
                <c:ptCount val="87"/>
                <c:pt idx="5" formatCode="0.0">
                  <c:v>27.862068965517206</c:v>
                </c:pt>
                <c:pt idx="53" formatCode="0.0">
                  <c:v>31.410067706800081</c:v>
                </c:pt>
                <c:pt idx="67" formatCode="0.0">
                  <c:v>12.021276595744634</c:v>
                </c:pt>
                <c:pt idx="74" formatCode="0.0">
                  <c:v>29.880551301684534</c:v>
                </c:pt>
                <c:pt idx="81" formatCode="0.0">
                  <c:v>30.738423028785931</c:v>
                </c:pt>
              </c:numCache>
            </c:numRef>
          </c:yVal>
          <c:smooth val="1"/>
        </c:ser>
        <c:ser>
          <c:idx val="9"/>
          <c:order val="5"/>
          <c:tx>
            <c:v>REDUKCJA smo[%] bez enzymów II </c:v>
          </c:tx>
          <c:spPr>
            <a:ln w="2222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DANE!$AJ$628:$AJ$714</c:f>
              <c:numCache>
                <c:formatCode>General</c:formatCode>
                <c:ptCount val="87"/>
                <c:pt idx="5" formatCode="0.0">
                  <c:v>36.190145172646666</c:v>
                </c:pt>
                <c:pt idx="53" formatCode="0.0">
                  <c:v>40.951848379139619</c:v>
                </c:pt>
                <c:pt idx="67" formatCode="0.0">
                  <c:v>15.643741340566129</c:v>
                </c:pt>
                <c:pt idx="74" formatCode="0.0">
                  <c:v>38.752563097144879</c:v>
                </c:pt>
                <c:pt idx="81" formatCode="0.0">
                  <c:v>39.477066460477168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0192"/>
        <c:axId val="58280768"/>
      </c:scatterChart>
      <c:valAx>
        <c:axId val="58280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280768"/>
        <c:crosses val="autoZero"/>
        <c:crossBetween val="midCat"/>
        <c:majorUnit val="15"/>
      </c:valAx>
      <c:valAx>
        <c:axId val="58280768"/>
        <c:scaling>
          <c:orientation val="minMax"/>
          <c:max val="65"/>
          <c:min val="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600" b="1" i="0" strike="noStrike">
                    <a:solidFill>
                      <a:srgbClr val="000000"/>
                    </a:solidFill>
                    <a:latin typeface="Calibri"/>
                  </a:rPr>
                  <a:t>REDUKCJA </a:t>
                </a:r>
                <a:r>
                  <a:rPr lang="pl-PL" sz="105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600" b="1" i="0" strike="noStrike">
                    <a:solidFill>
                      <a:srgbClr val="000000"/>
                    </a:solidFill>
                    <a:latin typeface="Calibri"/>
                  </a:rPr>
                  <a:t>S.M. oraz S.M.O.  [%]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 sz="1600" b="1" i="0" strike="noStrike">
                  <a:solidFill>
                    <a:srgbClr val="000000"/>
                  </a:solidFill>
                  <a:latin typeface="Calibri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2801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955523904221868E-2"/>
          <c:y val="0.88296342591640775"/>
          <c:w val="0.78626814651581534"/>
          <c:h val="0.10450393700787401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0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REDUKCJE S.M. I S.M.O.-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TERMO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851495525516914E-2"/>
          <c:y val="6.9115848769556468E-2"/>
          <c:w val="0.81167778673113078"/>
          <c:h val="0.72822812031002671"/>
        </c:manualLayout>
      </c:layout>
      <c:scatterChart>
        <c:scatterStyle val="smoothMarker"/>
        <c:varyColors val="0"/>
        <c:ser>
          <c:idx val="0"/>
          <c:order val="0"/>
          <c:tx>
            <c:v>REDUKCJA  s.m. [%] bez enzymów I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FF5050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DANE!$BR$408:$BR$579</c:f>
              <c:numCache>
                <c:formatCode>#,##0.0</c:formatCode>
                <c:ptCount val="172"/>
                <c:pt idx="1">
                  <c:v>33.097222222222243</c:v>
                </c:pt>
                <c:pt idx="6">
                  <c:v>39.732688391038728</c:v>
                </c:pt>
                <c:pt idx="8">
                  <c:v>36.037433155080222</c:v>
                </c:pt>
                <c:pt idx="14">
                  <c:v>36.997076800425198</c:v>
                </c:pt>
                <c:pt idx="20">
                  <c:v>32.907662082514719</c:v>
                </c:pt>
                <c:pt idx="22">
                  <c:v>36.057291666666657</c:v>
                </c:pt>
                <c:pt idx="28">
                  <c:v>36.933436933436944</c:v>
                </c:pt>
                <c:pt idx="29">
                  <c:v>37.072916666666657</c:v>
                </c:pt>
                <c:pt idx="35">
                  <c:v>38.618756371049955</c:v>
                </c:pt>
                <c:pt idx="36">
                  <c:v>35.907651715039549</c:v>
                </c:pt>
                <c:pt idx="41">
                  <c:v>37.433697347893883</c:v>
                </c:pt>
                <c:pt idx="43">
                  <c:v>32.042134831460636</c:v>
                </c:pt>
                <c:pt idx="48">
                  <c:v>38.268286378909309</c:v>
                </c:pt>
                <c:pt idx="50">
                  <c:v>36.344827586206883</c:v>
                </c:pt>
                <c:pt idx="55">
                  <c:v>38.42379958246346</c:v>
                </c:pt>
                <c:pt idx="57">
                  <c:v>35.645070422535198</c:v>
                </c:pt>
                <c:pt idx="62">
                  <c:v>35.054192812321702</c:v>
                </c:pt>
                <c:pt idx="78">
                  <c:v>31.381499395405076</c:v>
                </c:pt>
                <c:pt idx="85">
                  <c:v>34.008823529411728</c:v>
                </c:pt>
                <c:pt idx="86">
                  <c:v>43.717452951791678</c:v>
                </c:pt>
                <c:pt idx="90">
                  <c:v>40.274865400963463</c:v>
                </c:pt>
                <c:pt idx="97">
                  <c:v>39.458170674993099</c:v>
                </c:pt>
                <c:pt idx="99">
                  <c:v>40.225298801384412</c:v>
                </c:pt>
                <c:pt idx="104">
                  <c:v>36.940462846543909</c:v>
                </c:pt>
                <c:pt idx="113">
                  <c:v>41.959668886828403</c:v>
                </c:pt>
                <c:pt idx="117">
                  <c:v>40.920506975544043</c:v>
                </c:pt>
                <c:pt idx="120">
                  <c:v>40.247043614911803</c:v>
                </c:pt>
                <c:pt idx="121">
                  <c:v>38.994673668185996</c:v>
                </c:pt>
                <c:pt idx="127">
                  <c:v>38.501023127673442</c:v>
                </c:pt>
                <c:pt idx="129">
                  <c:v>33.474317461721647</c:v>
                </c:pt>
                <c:pt idx="134">
                  <c:v>35.389540531979236</c:v>
                </c:pt>
                <c:pt idx="141">
                  <c:v>32.259164199986877</c:v>
                </c:pt>
                <c:pt idx="142">
                  <c:v>31.389694726308793</c:v>
                </c:pt>
                <c:pt idx="148">
                  <c:v>31.821907911895096</c:v>
                </c:pt>
                <c:pt idx="155">
                  <c:v>33.352631980710377</c:v>
                </c:pt>
                <c:pt idx="160">
                  <c:v>31.017235742151826</c:v>
                </c:pt>
                <c:pt idx="162">
                  <c:v>33.62935458735091</c:v>
                </c:pt>
                <c:pt idx="170">
                  <c:v>37.379035617063117</c:v>
                </c:pt>
              </c:numCache>
            </c:numRef>
          </c:yVal>
          <c:smooth val="1"/>
        </c:ser>
        <c:ser>
          <c:idx val="2"/>
          <c:order val="1"/>
          <c:tx>
            <c:v>REDUKCJA  smo [%] bez enzymów I</c:v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DANE!$A$408:$A$579</c:f>
              <c:numCache>
                <c:formatCode>m/d/yyyy</c:formatCode>
                <c:ptCount val="172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</c:numCache>
            </c:numRef>
          </c:xVal>
          <c:yVal>
            <c:numRef>
              <c:f>DANE!$BU$408:$BU$579</c:f>
              <c:numCache>
                <c:formatCode>0.0</c:formatCode>
                <c:ptCount val="172"/>
                <c:pt idx="1">
                  <c:v>43.597737235358281</c:v>
                </c:pt>
                <c:pt idx="6">
                  <c:v>52.055875890626808</c:v>
                </c:pt>
                <c:pt idx="8">
                  <c:v>47.369059590262914</c:v>
                </c:pt>
                <c:pt idx="14">
                  <c:v>48.49404498561475</c:v>
                </c:pt>
                <c:pt idx="20">
                  <c:v>43.245498498606644</c:v>
                </c:pt>
                <c:pt idx="22">
                  <c:v>47.79218469722273</c:v>
                </c:pt>
                <c:pt idx="28">
                  <c:v>48.82146322992326</c:v>
                </c:pt>
                <c:pt idx="29">
                  <c:v>48.885643581764157</c:v>
                </c:pt>
                <c:pt idx="35">
                  <c:v>50.871718485457166</c:v>
                </c:pt>
                <c:pt idx="36">
                  <c:v>47.428511425378161</c:v>
                </c:pt>
                <c:pt idx="41">
                  <c:v>49.295728495850355</c:v>
                </c:pt>
                <c:pt idx="43">
                  <c:v>42.268042306727125</c:v>
                </c:pt>
                <c:pt idx="48">
                  <c:v>50.276270927149753</c:v>
                </c:pt>
                <c:pt idx="50">
                  <c:v>47.820883116506003</c:v>
                </c:pt>
                <c:pt idx="55">
                  <c:v>50.290298390743239</c:v>
                </c:pt>
                <c:pt idx="57">
                  <c:v>46.19989945114343</c:v>
                </c:pt>
                <c:pt idx="62">
                  <c:v>45.389347160846455</c:v>
                </c:pt>
                <c:pt idx="78">
                  <c:v>40.596498616324602</c:v>
                </c:pt>
                <c:pt idx="85">
                  <c:v>43.846709809331422</c:v>
                </c:pt>
                <c:pt idx="86">
                  <c:v>55.92755725078252</c:v>
                </c:pt>
                <c:pt idx="90">
                  <c:v>51.030580947206097</c:v>
                </c:pt>
                <c:pt idx="97">
                  <c:v>50.106118514960698</c:v>
                </c:pt>
                <c:pt idx="99">
                  <c:v>51.09907691379162</c:v>
                </c:pt>
                <c:pt idx="104">
                  <c:v>46.722679717470214</c:v>
                </c:pt>
                <c:pt idx="113">
                  <c:v>53.290442353890278</c:v>
                </c:pt>
                <c:pt idx="117">
                  <c:v>51.819296655600525</c:v>
                </c:pt>
                <c:pt idx="120">
                  <c:v>51.082901732162966</c:v>
                </c:pt>
                <c:pt idx="121">
                  <c:v>49.725492310449418</c:v>
                </c:pt>
                <c:pt idx="127">
                  <c:v>49.591244130847656</c:v>
                </c:pt>
                <c:pt idx="129">
                  <c:v>43.637348420975336</c:v>
                </c:pt>
                <c:pt idx="134">
                  <c:v>46.825654882459737</c:v>
                </c:pt>
                <c:pt idx="141">
                  <c:v>42.625159778775789</c:v>
                </c:pt>
                <c:pt idx="142">
                  <c:v>41.68274688224826</c:v>
                </c:pt>
                <c:pt idx="148">
                  <c:v>42.325837040028119</c:v>
                </c:pt>
                <c:pt idx="155">
                  <c:v>44.074265268755177</c:v>
                </c:pt>
                <c:pt idx="160">
                  <c:v>41.410972405696945</c:v>
                </c:pt>
                <c:pt idx="162">
                  <c:v>44.772870842936761</c:v>
                </c:pt>
                <c:pt idx="170">
                  <c:v>49.457676462268616</c:v>
                </c:pt>
              </c:numCache>
            </c:numRef>
          </c:yVal>
          <c:smooth val="1"/>
        </c:ser>
        <c:ser>
          <c:idx val="6"/>
          <c:order val="2"/>
          <c:tx>
            <c:v>REDUKCJA sm[%]-enzymy20%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DANE!$BR$580:$BR$627</c:f>
              <c:numCache>
                <c:formatCode>General</c:formatCode>
                <c:ptCount val="48"/>
                <c:pt idx="3" formatCode="#,##0.0">
                  <c:v>37.196857519216529</c:v>
                </c:pt>
                <c:pt idx="11" formatCode="#,##0.0">
                  <c:v>37.031062689599302</c:v>
                </c:pt>
                <c:pt idx="18" formatCode="#,##0.0">
                  <c:v>39.142036946332922</c:v>
                </c:pt>
                <c:pt idx="24" formatCode="#,##0.0">
                  <c:v>34.915121070293509</c:v>
                </c:pt>
                <c:pt idx="32" formatCode="#,##0.0">
                  <c:v>33.67344335485933</c:v>
                </c:pt>
                <c:pt idx="35" formatCode="#,##0.0">
                  <c:v>37.292492492492514</c:v>
                </c:pt>
                <c:pt idx="39" formatCode="#,##0.0">
                  <c:v>31.3372291210129</c:v>
                </c:pt>
                <c:pt idx="46" formatCode="#,##0.0">
                  <c:v>38.364130434782595</c:v>
                </c:pt>
              </c:numCache>
            </c:numRef>
          </c:yVal>
          <c:smooth val="1"/>
        </c:ser>
        <c:ser>
          <c:idx val="7"/>
          <c:order val="3"/>
          <c:tx>
            <c:v>REDUKCJA smo[%]-enzymy20%</c:v>
          </c:tx>
          <c:xVal>
            <c:numRef>
              <c:f>DANE!$A$580:$A$627</c:f>
              <c:numCache>
                <c:formatCode>m/d/yyyy</c:formatCode>
                <c:ptCount val="48"/>
                <c:pt idx="0">
                  <c:v>41735</c:v>
                </c:pt>
                <c:pt idx="1">
                  <c:v>41736</c:v>
                </c:pt>
                <c:pt idx="2">
                  <c:v>41737</c:v>
                </c:pt>
                <c:pt idx="3">
                  <c:v>41738</c:v>
                </c:pt>
                <c:pt idx="4">
                  <c:v>41739</c:v>
                </c:pt>
                <c:pt idx="5">
                  <c:v>41740</c:v>
                </c:pt>
                <c:pt idx="6">
                  <c:v>41741</c:v>
                </c:pt>
                <c:pt idx="7">
                  <c:v>41742</c:v>
                </c:pt>
                <c:pt idx="8">
                  <c:v>41743</c:v>
                </c:pt>
                <c:pt idx="9">
                  <c:v>41744</c:v>
                </c:pt>
                <c:pt idx="10">
                  <c:v>41745</c:v>
                </c:pt>
                <c:pt idx="11">
                  <c:v>41746</c:v>
                </c:pt>
                <c:pt idx="12">
                  <c:v>41747</c:v>
                </c:pt>
                <c:pt idx="13">
                  <c:v>41748</c:v>
                </c:pt>
                <c:pt idx="14">
                  <c:v>41749</c:v>
                </c:pt>
                <c:pt idx="15">
                  <c:v>41750</c:v>
                </c:pt>
                <c:pt idx="16">
                  <c:v>41751</c:v>
                </c:pt>
                <c:pt idx="17">
                  <c:v>41752</c:v>
                </c:pt>
                <c:pt idx="18">
                  <c:v>41753</c:v>
                </c:pt>
                <c:pt idx="19">
                  <c:v>41754</c:v>
                </c:pt>
                <c:pt idx="20">
                  <c:v>41755</c:v>
                </c:pt>
                <c:pt idx="21">
                  <c:v>41756</c:v>
                </c:pt>
                <c:pt idx="22">
                  <c:v>41757</c:v>
                </c:pt>
                <c:pt idx="23">
                  <c:v>41758</c:v>
                </c:pt>
                <c:pt idx="24">
                  <c:v>41759</c:v>
                </c:pt>
                <c:pt idx="25">
                  <c:v>41760</c:v>
                </c:pt>
                <c:pt idx="26">
                  <c:v>41761</c:v>
                </c:pt>
                <c:pt idx="27">
                  <c:v>41762</c:v>
                </c:pt>
                <c:pt idx="28">
                  <c:v>41763</c:v>
                </c:pt>
                <c:pt idx="29">
                  <c:v>41764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41770</c:v>
                </c:pt>
                <c:pt idx="36">
                  <c:v>41771</c:v>
                </c:pt>
                <c:pt idx="37">
                  <c:v>41772</c:v>
                </c:pt>
                <c:pt idx="38">
                  <c:v>41773</c:v>
                </c:pt>
                <c:pt idx="39">
                  <c:v>41774</c:v>
                </c:pt>
                <c:pt idx="40">
                  <c:v>41775</c:v>
                </c:pt>
                <c:pt idx="41">
                  <c:v>41776</c:v>
                </c:pt>
                <c:pt idx="42">
                  <c:v>41777</c:v>
                </c:pt>
                <c:pt idx="43">
                  <c:v>41778</c:v>
                </c:pt>
                <c:pt idx="44">
                  <c:v>41779</c:v>
                </c:pt>
                <c:pt idx="45">
                  <c:v>41780</c:v>
                </c:pt>
                <c:pt idx="46">
                  <c:v>41781</c:v>
                </c:pt>
                <c:pt idx="47">
                  <c:v>41782</c:v>
                </c:pt>
              </c:numCache>
            </c:numRef>
          </c:xVal>
          <c:yVal>
            <c:numRef>
              <c:f>DANE!$BU$580:$BU$627</c:f>
              <c:numCache>
                <c:formatCode>General</c:formatCode>
                <c:ptCount val="48"/>
                <c:pt idx="3" formatCode="0.0">
                  <c:v>48.768071005980659</c:v>
                </c:pt>
                <c:pt idx="11" formatCode="0.0">
                  <c:v>48.239851698172203</c:v>
                </c:pt>
                <c:pt idx="18" formatCode="0.0">
                  <c:v>50.800521973562553</c:v>
                </c:pt>
                <c:pt idx="24" formatCode="0.0">
                  <c:v>45.13886550606717</c:v>
                </c:pt>
                <c:pt idx="32" formatCode="0.0">
                  <c:v>43.441029743729572</c:v>
                </c:pt>
                <c:pt idx="35" formatCode="0.0">
                  <c:v>48.165772420991772</c:v>
                </c:pt>
                <c:pt idx="39" formatCode="0.0">
                  <c:v>40.62631534332715</c:v>
                </c:pt>
                <c:pt idx="46" formatCode="0.0">
                  <c:v>49.618627531470814</c:v>
                </c:pt>
              </c:numCache>
            </c:numRef>
          </c:yVal>
          <c:smooth val="1"/>
        </c:ser>
        <c:ser>
          <c:idx val="8"/>
          <c:order val="4"/>
          <c:tx>
            <c:v>REDUKCJA sm[%] bez enzymów II 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DANE!$BR$628:$BR$714</c:f>
              <c:numCache>
                <c:formatCode>General</c:formatCode>
                <c:ptCount val="87"/>
                <c:pt idx="5" formatCode="#,##0.0">
                  <c:v>34.251428571428534</c:v>
                </c:pt>
                <c:pt idx="53" formatCode="#,##0.0">
                  <c:v>35.918591859185888</c:v>
                </c:pt>
                <c:pt idx="67" formatCode="#,##0.0">
                  <c:v>35.318435754189927</c:v>
                </c:pt>
                <c:pt idx="74" formatCode="#,##0.0">
                  <c:v>33.350800582241604</c:v>
                </c:pt>
                <c:pt idx="81" formatCode="#,##0.0">
                  <c:v>29.142125480153602</c:v>
                </c:pt>
              </c:numCache>
            </c:numRef>
          </c:yVal>
          <c:smooth val="1"/>
        </c:ser>
        <c:ser>
          <c:idx val="9"/>
          <c:order val="5"/>
          <c:tx>
            <c:v>REDUKCJA smo[%] bez enzymów II</c:v>
          </c:tx>
          <c:xVal>
            <c:numRef>
              <c:f>DANE!$A$628:$A$714</c:f>
              <c:numCache>
                <c:formatCode>m/d/yyyy</c:formatCode>
                <c:ptCount val="87"/>
                <c:pt idx="0">
                  <c:v>41783</c:v>
                </c:pt>
                <c:pt idx="1">
                  <c:v>41784</c:v>
                </c:pt>
                <c:pt idx="2">
                  <c:v>41785</c:v>
                </c:pt>
                <c:pt idx="3">
                  <c:v>41786</c:v>
                </c:pt>
                <c:pt idx="4">
                  <c:v>41787</c:v>
                </c:pt>
                <c:pt idx="5">
                  <c:v>41788</c:v>
                </c:pt>
                <c:pt idx="6">
                  <c:v>41789</c:v>
                </c:pt>
                <c:pt idx="7">
                  <c:v>41790</c:v>
                </c:pt>
                <c:pt idx="8">
                  <c:v>41791</c:v>
                </c:pt>
                <c:pt idx="9">
                  <c:v>41792</c:v>
                </c:pt>
                <c:pt idx="10">
                  <c:v>41793</c:v>
                </c:pt>
                <c:pt idx="11">
                  <c:v>41794</c:v>
                </c:pt>
                <c:pt idx="12">
                  <c:v>41795</c:v>
                </c:pt>
                <c:pt idx="13">
                  <c:v>41796</c:v>
                </c:pt>
                <c:pt idx="14">
                  <c:v>41797</c:v>
                </c:pt>
                <c:pt idx="15">
                  <c:v>41798</c:v>
                </c:pt>
                <c:pt idx="16">
                  <c:v>41799</c:v>
                </c:pt>
                <c:pt idx="17">
                  <c:v>41800</c:v>
                </c:pt>
                <c:pt idx="18">
                  <c:v>41801</c:v>
                </c:pt>
                <c:pt idx="19">
                  <c:v>41802</c:v>
                </c:pt>
                <c:pt idx="20">
                  <c:v>41803</c:v>
                </c:pt>
                <c:pt idx="21">
                  <c:v>41804</c:v>
                </c:pt>
                <c:pt idx="22">
                  <c:v>41805</c:v>
                </c:pt>
                <c:pt idx="23">
                  <c:v>41806</c:v>
                </c:pt>
                <c:pt idx="24">
                  <c:v>41807</c:v>
                </c:pt>
                <c:pt idx="25">
                  <c:v>41808</c:v>
                </c:pt>
                <c:pt idx="26">
                  <c:v>41809</c:v>
                </c:pt>
                <c:pt idx="27">
                  <c:v>41810</c:v>
                </c:pt>
                <c:pt idx="28">
                  <c:v>41811</c:v>
                </c:pt>
                <c:pt idx="29">
                  <c:v>41812</c:v>
                </c:pt>
                <c:pt idx="30">
                  <c:v>41813</c:v>
                </c:pt>
                <c:pt idx="31">
                  <c:v>41814</c:v>
                </c:pt>
                <c:pt idx="32">
                  <c:v>41815</c:v>
                </c:pt>
                <c:pt idx="33">
                  <c:v>41816</c:v>
                </c:pt>
                <c:pt idx="34">
                  <c:v>41817</c:v>
                </c:pt>
                <c:pt idx="35">
                  <c:v>41818</c:v>
                </c:pt>
                <c:pt idx="36">
                  <c:v>41819</c:v>
                </c:pt>
                <c:pt idx="37">
                  <c:v>41820</c:v>
                </c:pt>
                <c:pt idx="38">
                  <c:v>41821</c:v>
                </c:pt>
                <c:pt idx="39">
                  <c:v>41822</c:v>
                </c:pt>
                <c:pt idx="40">
                  <c:v>41823</c:v>
                </c:pt>
                <c:pt idx="41">
                  <c:v>41824</c:v>
                </c:pt>
                <c:pt idx="42">
                  <c:v>41825</c:v>
                </c:pt>
                <c:pt idx="43">
                  <c:v>41826</c:v>
                </c:pt>
                <c:pt idx="44">
                  <c:v>41827</c:v>
                </c:pt>
                <c:pt idx="45">
                  <c:v>41828</c:v>
                </c:pt>
                <c:pt idx="46">
                  <c:v>41829</c:v>
                </c:pt>
                <c:pt idx="47">
                  <c:v>41830</c:v>
                </c:pt>
                <c:pt idx="48">
                  <c:v>41831</c:v>
                </c:pt>
                <c:pt idx="49">
                  <c:v>41832</c:v>
                </c:pt>
                <c:pt idx="50">
                  <c:v>41833</c:v>
                </c:pt>
                <c:pt idx="51">
                  <c:v>41834</c:v>
                </c:pt>
                <c:pt idx="52">
                  <c:v>41835</c:v>
                </c:pt>
                <c:pt idx="53">
                  <c:v>41836</c:v>
                </c:pt>
                <c:pt idx="54">
                  <c:v>41837</c:v>
                </c:pt>
                <c:pt idx="55">
                  <c:v>41838</c:v>
                </c:pt>
                <c:pt idx="56">
                  <c:v>41839</c:v>
                </c:pt>
                <c:pt idx="57">
                  <c:v>41840</c:v>
                </c:pt>
                <c:pt idx="58">
                  <c:v>41841</c:v>
                </c:pt>
                <c:pt idx="59">
                  <c:v>41842</c:v>
                </c:pt>
                <c:pt idx="60">
                  <c:v>41843</c:v>
                </c:pt>
                <c:pt idx="61">
                  <c:v>41844</c:v>
                </c:pt>
                <c:pt idx="62">
                  <c:v>41845</c:v>
                </c:pt>
                <c:pt idx="63">
                  <c:v>41846</c:v>
                </c:pt>
                <c:pt idx="64">
                  <c:v>41847</c:v>
                </c:pt>
                <c:pt idx="65">
                  <c:v>41848</c:v>
                </c:pt>
                <c:pt idx="66">
                  <c:v>41849</c:v>
                </c:pt>
                <c:pt idx="67">
                  <c:v>41850</c:v>
                </c:pt>
                <c:pt idx="68">
                  <c:v>41851</c:v>
                </c:pt>
                <c:pt idx="69">
                  <c:v>41852</c:v>
                </c:pt>
                <c:pt idx="70">
                  <c:v>41853</c:v>
                </c:pt>
                <c:pt idx="71">
                  <c:v>41854</c:v>
                </c:pt>
                <c:pt idx="72">
                  <c:v>41855</c:v>
                </c:pt>
                <c:pt idx="73">
                  <c:v>41856</c:v>
                </c:pt>
                <c:pt idx="74">
                  <c:v>41857</c:v>
                </c:pt>
                <c:pt idx="75">
                  <c:v>41858</c:v>
                </c:pt>
                <c:pt idx="76">
                  <c:v>41859</c:v>
                </c:pt>
                <c:pt idx="77">
                  <c:v>41860</c:v>
                </c:pt>
                <c:pt idx="78">
                  <c:v>41861</c:v>
                </c:pt>
                <c:pt idx="79">
                  <c:v>41862</c:v>
                </c:pt>
                <c:pt idx="80">
                  <c:v>41863</c:v>
                </c:pt>
                <c:pt idx="81">
                  <c:v>41864</c:v>
                </c:pt>
                <c:pt idx="82">
                  <c:v>41865</c:v>
                </c:pt>
                <c:pt idx="83">
                  <c:v>41866</c:v>
                </c:pt>
                <c:pt idx="84">
                  <c:v>41867</c:v>
                </c:pt>
                <c:pt idx="85">
                  <c:v>41868</c:v>
                </c:pt>
                <c:pt idx="86">
                  <c:v>41869</c:v>
                </c:pt>
              </c:numCache>
            </c:numRef>
          </c:xVal>
          <c:yVal>
            <c:numRef>
              <c:f>DANE!$BU$628:$BU$714</c:f>
              <c:numCache>
                <c:formatCode>General</c:formatCode>
                <c:ptCount val="87"/>
                <c:pt idx="5" formatCode="0.0">
                  <c:v>44.489308166764353</c:v>
                </c:pt>
                <c:pt idx="53" formatCode="0.0">
                  <c:v>46.829976348351884</c:v>
                </c:pt>
                <c:pt idx="67" formatCode="0.0">
                  <c:v>45.961214609065024</c:v>
                </c:pt>
                <c:pt idx="74" formatCode="0.0">
                  <c:v>43.253184683736166</c:v>
                </c:pt>
                <c:pt idx="81" formatCode="0.0">
                  <c:v>37.426956591176427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5376"/>
        <c:axId val="152100864"/>
      </c:scatterChart>
      <c:valAx>
        <c:axId val="58285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0864"/>
        <c:crosses val="autoZero"/>
        <c:crossBetween val="midCat"/>
        <c:majorUnit val="15"/>
      </c:valAx>
      <c:valAx>
        <c:axId val="152100864"/>
        <c:scaling>
          <c:orientation val="minMax"/>
          <c:min val="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600" b="1" i="0" strike="noStrike">
                    <a:solidFill>
                      <a:srgbClr val="000000"/>
                    </a:solidFill>
                    <a:latin typeface="Calibri"/>
                  </a:rPr>
                  <a:t>REDUKCJA </a:t>
                </a:r>
                <a:r>
                  <a:rPr lang="pl-PL" sz="105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600" b="1" i="0" strike="noStrike">
                    <a:solidFill>
                      <a:srgbClr val="000000"/>
                    </a:solidFill>
                    <a:latin typeface="Calibri"/>
                  </a:rPr>
                  <a:t>S.M. oraz S.M.O.  [%]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 sz="1600" b="1" i="0" strike="noStrike">
                  <a:solidFill>
                    <a:srgbClr val="000000"/>
                  </a:solidFill>
                  <a:latin typeface="Calibri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2853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701151449599737E-2"/>
          <c:y val="0.91890473202543932"/>
          <c:w val="0.94749703044798583"/>
          <c:h val="8.1095207746551268E-2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0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JAKOŚĆ BIOGAZ WKF</a:t>
            </a:r>
            <a:r>
              <a:rPr lang="pl-PL" sz="1200" b="1" i="0" strike="noStrike">
                <a:solidFill>
                  <a:srgbClr val="000000"/>
                </a:solidFill>
                <a:latin typeface="Calibri"/>
              </a:rPr>
              <a:t>MEZO</a:t>
            </a:r>
            <a:r>
              <a:rPr lang="pl-PL" sz="1800" b="1" i="0" strike="noStrike">
                <a:solidFill>
                  <a:srgbClr val="000000"/>
                </a:solidFill>
                <a:latin typeface="Calibri"/>
              </a:rPr>
              <a:t>- stacja pilotowa OTWOCK</a:t>
            </a:r>
          </a:p>
        </c:rich>
      </c:tx>
      <c:layout>
        <c:manualLayout>
          <c:xMode val="edge"/>
          <c:yMode val="edge"/>
          <c:x val="0.20084893076890267"/>
          <c:y val="6.263833008334782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12246378758975E-2"/>
          <c:y val="6.4938303077650542E-2"/>
          <c:w val="0.81167778673113078"/>
          <c:h val="0.76791483764901491"/>
        </c:manualLayout>
      </c:layout>
      <c:scatterChart>
        <c:scatterStyle val="smoothMarker"/>
        <c:varyColors val="0"/>
        <c:ser>
          <c:idx val="0"/>
          <c:order val="0"/>
          <c:tx>
            <c:v>CH4  [%]</c:v>
          </c:tx>
          <c:spPr>
            <a:ln>
              <a:solidFill>
                <a:srgbClr val="CC0000"/>
              </a:solidFill>
            </a:ln>
          </c:spPr>
          <c:marker>
            <c:spPr>
              <a:solidFill>
                <a:srgbClr val="CC0000"/>
              </a:solidFill>
              <a:ln>
                <a:solidFill>
                  <a:srgbClr val="FF505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DANE!$AX$408:$AX$714</c:f>
              <c:numCache>
                <c:formatCode>General</c:formatCode>
                <c:ptCount val="307"/>
                <c:pt idx="6">
                  <c:v>69.599999999999994</c:v>
                </c:pt>
                <c:pt idx="14">
                  <c:v>69</c:v>
                </c:pt>
                <c:pt idx="20">
                  <c:v>64.900000000000006</c:v>
                </c:pt>
                <c:pt idx="28">
                  <c:v>67.3</c:v>
                </c:pt>
                <c:pt idx="35">
                  <c:v>69.8</c:v>
                </c:pt>
                <c:pt idx="41">
                  <c:v>69.2</c:v>
                </c:pt>
                <c:pt idx="48">
                  <c:v>67.900000000000006</c:v>
                </c:pt>
                <c:pt idx="55">
                  <c:v>68.8</c:v>
                </c:pt>
                <c:pt idx="78">
                  <c:v>67.400000000000006</c:v>
                </c:pt>
                <c:pt idx="142">
                  <c:v>69.3</c:v>
                </c:pt>
                <c:pt idx="148">
                  <c:v>66.099999999999994</c:v>
                </c:pt>
                <c:pt idx="160">
                  <c:v>70.099999999999994</c:v>
                </c:pt>
                <c:pt idx="169">
                  <c:v>69.5</c:v>
                </c:pt>
                <c:pt idx="175">
                  <c:v>68.900000000000006</c:v>
                </c:pt>
                <c:pt idx="183">
                  <c:v>69.099999999999994</c:v>
                </c:pt>
                <c:pt idx="190">
                  <c:v>67.8</c:v>
                </c:pt>
                <c:pt idx="207">
                  <c:v>63.9</c:v>
                </c:pt>
                <c:pt idx="210">
                  <c:v>69.8</c:v>
                </c:pt>
                <c:pt idx="252">
                  <c:v>64.8</c:v>
                </c:pt>
                <c:pt idx="259">
                  <c:v>64.900000000000006</c:v>
                </c:pt>
                <c:pt idx="273">
                  <c:v>75.3</c:v>
                </c:pt>
                <c:pt idx="280">
                  <c:v>69.8</c:v>
                </c:pt>
                <c:pt idx="287">
                  <c:v>72.599999999999994</c:v>
                </c:pt>
                <c:pt idx="294">
                  <c:v>72.900000000000006</c:v>
                </c:pt>
                <c:pt idx="301">
                  <c:v>72.2</c:v>
                </c:pt>
              </c:numCache>
            </c:numRef>
          </c:yVal>
          <c:smooth val="1"/>
        </c:ser>
        <c:ser>
          <c:idx val="1"/>
          <c:order val="1"/>
          <c:tx>
            <c:v>CO2 [%]</c:v>
          </c:tx>
          <c:spPr>
            <a:ln>
              <a:solidFill>
                <a:srgbClr val="800000"/>
              </a:solidFill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DANE!$AY$408:$AY$714</c:f>
              <c:numCache>
                <c:formatCode>General</c:formatCode>
                <c:ptCount val="307"/>
                <c:pt idx="6">
                  <c:v>30.3</c:v>
                </c:pt>
                <c:pt idx="14">
                  <c:v>30.9</c:v>
                </c:pt>
                <c:pt idx="20">
                  <c:v>34</c:v>
                </c:pt>
                <c:pt idx="28">
                  <c:v>30.1</c:v>
                </c:pt>
                <c:pt idx="35">
                  <c:v>30.1</c:v>
                </c:pt>
                <c:pt idx="41">
                  <c:v>30.7</c:v>
                </c:pt>
                <c:pt idx="48">
                  <c:v>32</c:v>
                </c:pt>
                <c:pt idx="55">
                  <c:v>31.1</c:v>
                </c:pt>
                <c:pt idx="78">
                  <c:v>31.1</c:v>
                </c:pt>
                <c:pt idx="142">
                  <c:v>30.2</c:v>
                </c:pt>
                <c:pt idx="148">
                  <c:v>33.799999999999997</c:v>
                </c:pt>
                <c:pt idx="160">
                  <c:v>29.8</c:v>
                </c:pt>
                <c:pt idx="169">
                  <c:v>30.4</c:v>
                </c:pt>
                <c:pt idx="175">
                  <c:v>31</c:v>
                </c:pt>
                <c:pt idx="183">
                  <c:v>30.7</c:v>
                </c:pt>
                <c:pt idx="190">
                  <c:v>32.1</c:v>
                </c:pt>
                <c:pt idx="207">
                  <c:v>30.6</c:v>
                </c:pt>
                <c:pt idx="210">
                  <c:v>30.1</c:v>
                </c:pt>
                <c:pt idx="252">
                  <c:v>33.1</c:v>
                </c:pt>
                <c:pt idx="259">
                  <c:v>35</c:v>
                </c:pt>
                <c:pt idx="273">
                  <c:v>24.6</c:v>
                </c:pt>
                <c:pt idx="280">
                  <c:v>27.1</c:v>
                </c:pt>
                <c:pt idx="287">
                  <c:v>27.4</c:v>
                </c:pt>
                <c:pt idx="294">
                  <c:v>27</c:v>
                </c:pt>
                <c:pt idx="301">
                  <c:v>27.7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03168"/>
        <c:axId val="152103744"/>
      </c:scatterChart>
      <c:scatterChart>
        <c:scatterStyle val="smoothMarker"/>
        <c:varyColors val="0"/>
        <c:ser>
          <c:idx val="2"/>
          <c:order val="2"/>
          <c:tx>
            <c:v>H2S [ppm]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DANE!$A$408:$A$714</c:f>
              <c:numCache>
                <c:formatCode>m/d/yyyy</c:formatCode>
                <c:ptCount val="307"/>
                <c:pt idx="0">
                  <c:v>41563</c:v>
                </c:pt>
                <c:pt idx="1">
                  <c:v>41564</c:v>
                </c:pt>
                <c:pt idx="2">
                  <c:v>41565</c:v>
                </c:pt>
                <c:pt idx="3">
                  <c:v>41566</c:v>
                </c:pt>
                <c:pt idx="4">
                  <c:v>41567</c:v>
                </c:pt>
                <c:pt idx="5">
                  <c:v>41568</c:v>
                </c:pt>
                <c:pt idx="6">
                  <c:v>41569</c:v>
                </c:pt>
                <c:pt idx="7">
                  <c:v>41570</c:v>
                </c:pt>
                <c:pt idx="8">
                  <c:v>41571</c:v>
                </c:pt>
                <c:pt idx="9">
                  <c:v>41572</c:v>
                </c:pt>
                <c:pt idx="10">
                  <c:v>41573</c:v>
                </c:pt>
                <c:pt idx="11">
                  <c:v>41574</c:v>
                </c:pt>
                <c:pt idx="12">
                  <c:v>41575</c:v>
                </c:pt>
                <c:pt idx="13">
                  <c:v>41576</c:v>
                </c:pt>
                <c:pt idx="14">
                  <c:v>41577</c:v>
                </c:pt>
                <c:pt idx="15">
                  <c:v>41578</c:v>
                </c:pt>
                <c:pt idx="16">
                  <c:v>41579</c:v>
                </c:pt>
                <c:pt idx="17">
                  <c:v>41580</c:v>
                </c:pt>
                <c:pt idx="18">
                  <c:v>41581</c:v>
                </c:pt>
                <c:pt idx="19">
                  <c:v>41582</c:v>
                </c:pt>
                <c:pt idx="20">
                  <c:v>41583</c:v>
                </c:pt>
                <c:pt idx="21">
                  <c:v>41584</c:v>
                </c:pt>
                <c:pt idx="22">
                  <c:v>41585</c:v>
                </c:pt>
                <c:pt idx="23">
                  <c:v>41586</c:v>
                </c:pt>
                <c:pt idx="24">
                  <c:v>41587</c:v>
                </c:pt>
                <c:pt idx="25">
                  <c:v>41588</c:v>
                </c:pt>
                <c:pt idx="26">
                  <c:v>41589</c:v>
                </c:pt>
                <c:pt idx="27">
                  <c:v>41590</c:v>
                </c:pt>
                <c:pt idx="28">
                  <c:v>41591</c:v>
                </c:pt>
                <c:pt idx="29">
                  <c:v>41592</c:v>
                </c:pt>
                <c:pt idx="30">
                  <c:v>41593</c:v>
                </c:pt>
                <c:pt idx="31">
                  <c:v>41594</c:v>
                </c:pt>
                <c:pt idx="32">
                  <c:v>41595</c:v>
                </c:pt>
                <c:pt idx="33">
                  <c:v>41596</c:v>
                </c:pt>
                <c:pt idx="34">
                  <c:v>41597</c:v>
                </c:pt>
                <c:pt idx="35">
                  <c:v>41598</c:v>
                </c:pt>
                <c:pt idx="36">
                  <c:v>41599</c:v>
                </c:pt>
                <c:pt idx="37">
                  <c:v>41600</c:v>
                </c:pt>
                <c:pt idx="38">
                  <c:v>41601</c:v>
                </c:pt>
                <c:pt idx="39">
                  <c:v>41602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41608</c:v>
                </c:pt>
                <c:pt idx="46">
                  <c:v>41609</c:v>
                </c:pt>
                <c:pt idx="47">
                  <c:v>41610</c:v>
                </c:pt>
                <c:pt idx="48">
                  <c:v>41611</c:v>
                </c:pt>
                <c:pt idx="49">
                  <c:v>41612</c:v>
                </c:pt>
                <c:pt idx="50">
                  <c:v>41613</c:v>
                </c:pt>
                <c:pt idx="51">
                  <c:v>41614</c:v>
                </c:pt>
                <c:pt idx="52">
                  <c:v>41615</c:v>
                </c:pt>
                <c:pt idx="53">
                  <c:v>41616</c:v>
                </c:pt>
                <c:pt idx="54">
                  <c:v>41617</c:v>
                </c:pt>
                <c:pt idx="55">
                  <c:v>41618</c:v>
                </c:pt>
                <c:pt idx="56">
                  <c:v>41619</c:v>
                </c:pt>
                <c:pt idx="57">
                  <c:v>41620</c:v>
                </c:pt>
                <c:pt idx="58">
                  <c:v>41621</c:v>
                </c:pt>
                <c:pt idx="59">
                  <c:v>41622</c:v>
                </c:pt>
                <c:pt idx="60">
                  <c:v>41623</c:v>
                </c:pt>
                <c:pt idx="61">
                  <c:v>41624</c:v>
                </c:pt>
                <c:pt idx="62">
                  <c:v>41625</c:v>
                </c:pt>
                <c:pt idx="63">
                  <c:v>41626</c:v>
                </c:pt>
                <c:pt idx="64">
                  <c:v>41627</c:v>
                </c:pt>
                <c:pt idx="65">
                  <c:v>41628</c:v>
                </c:pt>
                <c:pt idx="66">
                  <c:v>41629</c:v>
                </c:pt>
                <c:pt idx="67">
                  <c:v>41630</c:v>
                </c:pt>
                <c:pt idx="68">
                  <c:v>41631</c:v>
                </c:pt>
                <c:pt idx="69">
                  <c:v>41632</c:v>
                </c:pt>
                <c:pt idx="70">
                  <c:v>41633</c:v>
                </c:pt>
                <c:pt idx="71">
                  <c:v>41634</c:v>
                </c:pt>
                <c:pt idx="72">
                  <c:v>41635</c:v>
                </c:pt>
                <c:pt idx="73">
                  <c:v>41636</c:v>
                </c:pt>
                <c:pt idx="74">
                  <c:v>41637</c:v>
                </c:pt>
                <c:pt idx="75">
                  <c:v>41638</c:v>
                </c:pt>
                <c:pt idx="76">
                  <c:v>41639</c:v>
                </c:pt>
                <c:pt idx="77">
                  <c:v>41640</c:v>
                </c:pt>
                <c:pt idx="78">
                  <c:v>41641</c:v>
                </c:pt>
                <c:pt idx="79">
                  <c:v>41642</c:v>
                </c:pt>
                <c:pt idx="80">
                  <c:v>41643</c:v>
                </c:pt>
                <c:pt idx="81">
                  <c:v>41644</c:v>
                </c:pt>
                <c:pt idx="82">
                  <c:v>41645</c:v>
                </c:pt>
                <c:pt idx="83">
                  <c:v>41646</c:v>
                </c:pt>
                <c:pt idx="84">
                  <c:v>41647</c:v>
                </c:pt>
                <c:pt idx="85">
                  <c:v>41648</c:v>
                </c:pt>
                <c:pt idx="86">
                  <c:v>41649</c:v>
                </c:pt>
                <c:pt idx="87">
                  <c:v>41650</c:v>
                </c:pt>
                <c:pt idx="88">
                  <c:v>41651</c:v>
                </c:pt>
                <c:pt idx="89">
                  <c:v>41652</c:v>
                </c:pt>
                <c:pt idx="90">
                  <c:v>41653</c:v>
                </c:pt>
                <c:pt idx="91">
                  <c:v>41654</c:v>
                </c:pt>
                <c:pt idx="92">
                  <c:v>41655</c:v>
                </c:pt>
                <c:pt idx="93">
                  <c:v>41656</c:v>
                </c:pt>
                <c:pt idx="94">
                  <c:v>41657</c:v>
                </c:pt>
                <c:pt idx="95">
                  <c:v>41658</c:v>
                </c:pt>
                <c:pt idx="96">
                  <c:v>41659</c:v>
                </c:pt>
                <c:pt idx="97">
                  <c:v>41660</c:v>
                </c:pt>
                <c:pt idx="98">
                  <c:v>41661</c:v>
                </c:pt>
                <c:pt idx="99">
                  <c:v>41662</c:v>
                </c:pt>
                <c:pt idx="100">
                  <c:v>41663</c:v>
                </c:pt>
                <c:pt idx="101">
                  <c:v>41664</c:v>
                </c:pt>
                <c:pt idx="102">
                  <c:v>41665</c:v>
                </c:pt>
                <c:pt idx="103">
                  <c:v>41666</c:v>
                </c:pt>
                <c:pt idx="104">
                  <c:v>41667</c:v>
                </c:pt>
                <c:pt idx="105">
                  <c:v>41668</c:v>
                </c:pt>
                <c:pt idx="106">
                  <c:v>41669</c:v>
                </c:pt>
                <c:pt idx="107">
                  <c:v>41670</c:v>
                </c:pt>
                <c:pt idx="108">
                  <c:v>41671</c:v>
                </c:pt>
                <c:pt idx="109">
                  <c:v>41672</c:v>
                </c:pt>
                <c:pt idx="110">
                  <c:v>41673</c:v>
                </c:pt>
                <c:pt idx="111">
                  <c:v>41674</c:v>
                </c:pt>
                <c:pt idx="112">
                  <c:v>41675</c:v>
                </c:pt>
                <c:pt idx="113">
                  <c:v>41676</c:v>
                </c:pt>
                <c:pt idx="114">
                  <c:v>41677</c:v>
                </c:pt>
                <c:pt idx="115">
                  <c:v>41678</c:v>
                </c:pt>
                <c:pt idx="116">
                  <c:v>41679</c:v>
                </c:pt>
                <c:pt idx="117">
                  <c:v>41680</c:v>
                </c:pt>
                <c:pt idx="118">
                  <c:v>41681</c:v>
                </c:pt>
                <c:pt idx="119">
                  <c:v>41682</c:v>
                </c:pt>
                <c:pt idx="120">
                  <c:v>41683</c:v>
                </c:pt>
                <c:pt idx="121">
                  <c:v>41684</c:v>
                </c:pt>
                <c:pt idx="122">
                  <c:v>41685</c:v>
                </c:pt>
                <c:pt idx="123">
                  <c:v>41686</c:v>
                </c:pt>
                <c:pt idx="124">
                  <c:v>41687</c:v>
                </c:pt>
                <c:pt idx="125">
                  <c:v>41688</c:v>
                </c:pt>
                <c:pt idx="126">
                  <c:v>41689</c:v>
                </c:pt>
                <c:pt idx="127">
                  <c:v>41690</c:v>
                </c:pt>
                <c:pt idx="128">
                  <c:v>41691</c:v>
                </c:pt>
                <c:pt idx="129">
                  <c:v>41692</c:v>
                </c:pt>
                <c:pt idx="130">
                  <c:v>41693</c:v>
                </c:pt>
                <c:pt idx="131">
                  <c:v>41694</c:v>
                </c:pt>
                <c:pt idx="132">
                  <c:v>41695</c:v>
                </c:pt>
                <c:pt idx="133">
                  <c:v>41696</c:v>
                </c:pt>
                <c:pt idx="134">
                  <c:v>41697</c:v>
                </c:pt>
                <c:pt idx="135">
                  <c:v>41698</c:v>
                </c:pt>
                <c:pt idx="136">
                  <c:v>41699</c:v>
                </c:pt>
                <c:pt idx="137">
                  <c:v>41700</c:v>
                </c:pt>
                <c:pt idx="138">
                  <c:v>41701</c:v>
                </c:pt>
                <c:pt idx="139">
                  <c:v>41702</c:v>
                </c:pt>
                <c:pt idx="140">
                  <c:v>41703</c:v>
                </c:pt>
                <c:pt idx="141">
                  <c:v>41704</c:v>
                </c:pt>
                <c:pt idx="142">
                  <c:v>41705</c:v>
                </c:pt>
                <c:pt idx="143">
                  <c:v>41706</c:v>
                </c:pt>
                <c:pt idx="144">
                  <c:v>41707</c:v>
                </c:pt>
                <c:pt idx="145">
                  <c:v>41708</c:v>
                </c:pt>
                <c:pt idx="146">
                  <c:v>41709</c:v>
                </c:pt>
                <c:pt idx="147">
                  <c:v>41710</c:v>
                </c:pt>
                <c:pt idx="148">
                  <c:v>41711</c:v>
                </c:pt>
                <c:pt idx="149">
                  <c:v>41712</c:v>
                </c:pt>
                <c:pt idx="150">
                  <c:v>41713</c:v>
                </c:pt>
                <c:pt idx="151">
                  <c:v>41714</c:v>
                </c:pt>
                <c:pt idx="152">
                  <c:v>41715</c:v>
                </c:pt>
                <c:pt idx="153">
                  <c:v>41716</c:v>
                </c:pt>
                <c:pt idx="154">
                  <c:v>41717</c:v>
                </c:pt>
                <c:pt idx="155">
                  <c:v>41718</c:v>
                </c:pt>
                <c:pt idx="156">
                  <c:v>41719</c:v>
                </c:pt>
                <c:pt idx="157">
                  <c:v>41720</c:v>
                </c:pt>
                <c:pt idx="158">
                  <c:v>41721</c:v>
                </c:pt>
                <c:pt idx="159">
                  <c:v>41722</c:v>
                </c:pt>
                <c:pt idx="160">
                  <c:v>41723</c:v>
                </c:pt>
                <c:pt idx="161">
                  <c:v>41724</c:v>
                </c:pt>
                <c:pt idx="162">
                  <c:v>41725</c:v>
                </c:pt>
                <c:pt idx="163">
                  <c:v>41726</c:v>
                </c:pt>
                <c:pt idx="164">
                  <c:v>41727</c:v>
                </c:pt>
                <c:pt idx="165">
                  <c:v>41728</c:v>
                </c:pt>
                <c:pt idx="166">
                  <c:v>41729</c:v>
                </c:pt>
                <c:pt idx="167">
                  <c:v>41730</c:v>
                </c:pt>
                <c:pt idx="168">
                  <c:v>41731</c:v>
                </c:pt>
                <c:pt idx="169">
                  <c:v>41732</c:v>
                </c:pt>
                <c:pt idx="170">
                  <c:v>41733</c:v>
                </c:pt>
                <c:pt idx="171">
                  <c:v>41734</c:v>
                </c:pt>
                <c:pt idx="172">
                  <c:v>41735</c:v>
                </c:pt>
                <c:pt idx="173">
                  <c:v>41736</c:v>
                </c:pt>
                <c:pt idx="174">
                  <c:v>41737</c:v>
                </c:pt>
                <c:pt idx="175">
                  <c:v>41738</c:v>
                </c:pt>
                <c:pt idx="176">
                  <c:v>41739</c:v>
                </c:pt>
                <c:pt idx="177">
                  <c:v>41740</c:v>
                </c:pt>
                <c:pt idx="178">
                  <c:v>41741</c:v>
                </c:pt>
                <c:pt idx="179">
                  <c:v>41742</c:v>
                </c:pt>
                <c:pt idx="180">
                  <c:v>41743</c:v>
                </c:pt>
                <c:pt idx="181">
                  <c:v>41744</c:v>
                </c:pt>
                <c:pt idx="182">
                  <c:v>41745</c:v>
                </c:pt>
                <c:pt idx="183">
                  <c:v>41746</c:v>
                </c:pt>
                <c:pt idx="184">
                  <c:v>41747</c:v>
                </c:pt>
                <c:pt idx="185">
                  <c:v>41748</c:v>
                </c:pt>
                <c:pt idx="186">
                  <c:v>41749</c:v>
                </c:pt>
                <c:pt idx="187">
                  <c:v>41750</c:v>
                </c:pt>
                <c:pt idx="188">
                  <c:v>41751</c:v>
                </c:pt>
                <c:pt idx="189">
                  <c:v>41752</c:v>
                </c:pt>
                <c:pt idx="190">
                  <c:v>41753</c:v>
                </c:pt>
                <c:pt idx="191">
                  <c:v>41754</c:v>
                </c:pt>
                <c:pt idx="192">
                  <c:v>41755</c:v>
                </c:pt>
                <c:pt idx="193">
                  <c:v>41756</c:v>
                </c:pt>
                <c:pt idx="194">
                  <c:v>41757</c:v>
                </c:pt>
                <c:pt idx="195">
                  <c:v>41758</c:v>
                </c:pt>
                <c:pt idx="196">
                  <c:v>41759</c:v>
                </c:pt>
                <c:pt idx="197">
                  <c:v>41760</c:v>
                </c:pt>
                <c:pt idx="198">
                  <c:v>41761</c:v>
                </c:pt>
                <c:pt idx="199">
                  <c:v>41762</c:v>
                </c:pt>
                <c:pt idx="200">
                  <c:v>41763</c:v>
                </c:pt>
                <c:pt idx="201">
                  <c:v>41764</c:v>
                </c:pt>
                <c:pt idx="202">
                  <c:v>41765</c:v>
                </c:pt>
                <c:pt idx="203">
                  <c:v>41766</c:v>
                </c:pt>
                <c:pt idx="204">
                  <c:v>41767</c:v>
                </c:pt>
                <c:pt idx="205">
                  <c:v>41768</c:v>
                </c:pt>
                <c:pt idx="206">
                  <c:v>41769</c:v>
                </c:pt>
                <c:pt idx="207">
                  <c:v>41770</c:v>
                </c:pt>
                <c:pt idx="208">
                  <c:v>41771</c:v>
                </c:pt>
                <c:pt idx="209">
                  <c:v>41772</c:v>
                </c:pt>
                <c:pt idx="210">
                  <c:v>41773</c:v>
                </c:pt>
                <c:pt idx="211">
                  <c:v>41774</c:v>
                </c:pt>
                <c:pt idx="212">
                  <c:v>41775</c:v>
                </c:pt>
                <c:pt idx="213">
                  <c:v>41776</c:v>
                </c:pt>
                <c:pt idx="214">
                  <c:v>41777</c:v>
                </c:pt>
                <c:pt idx="215">
                  <c:v>41778</c:v>
                </c:pt>
                <c:pt idx="216">
                  <c:v>41779</c:v>
                </c:pt>
                <c:pt idx="217">
                  <c:v>41780</c:v>
                </c:pt>
                <c:pt idx="218">
                  <c:v>41781</c:v>
                </c:pt>
                <c:pt idx="219">
                  <c:v>41782</c:v>
                </c:pt>
                <c:pt idx="220">
                  <c:v>41783</c:v>
                </c:pt>
                <c:pt idx="221">
                  <c:v>41784</c:v>
                </c:pt>
                <c:pt idx="222">
                  <c:v>41785</c:v>
                </c:pt>
                <c:pt idx="223">
                  <c:v>41786</c:v>
                </c:pt>
                <c:pt idx="224">
                  <c:v>41787</c:v>
                </c:pt>
                <c:pt idx="225">
                  <c:v>41788</c:v>
                </c:pt>
                <c:pt idx="226">
                  <c:v>41789</c:v>
                </c:pt>
                <c:pt idx="227">
                  <c:v>41790</c:v>
                </c:pt>
                <c:pt idx="228">
                  <c:v>41791</c:v>
                </c:pt>
                <c:pt idx="229">
                  <c:v>41792</c:v>
                </c:pt>
                <c:pt idx="230">
                  <c:v>41793</c:v>
                </c:pt>
                <c:pt idx="231">
                  <c:v>41794</c:v>
                </c:pt>
                <c:pt idx="232">
                  <c:v>41795</c:v>
                </c:pt>
                <c:pt idx="233">
                  <c:v>41796</c:v>
                </c:pt>
                <c:pt idx="234">
                  <c:v>41797</c:v>
                </c:pt>
                <c:pt idx="235">
                  <c:v>41798</c:v>
                </c:pt>
                <c:pt idx="236">
                  <c:v>41799</c:v>
                </c:pt>
                <c:pt idx="237">
                  <c:v>41800</c:v>
                </c:pt>
                <c:pt idx="238">
                  <c:v>41801</c:v>
                </c:pt>
                <c:pt idx="239">
                  <c:v>41802</c:v>
                </c:pt>
                <c:pt idx="240">
                  <c:v>41803</c:v>
                </c:pt>
                <c:pt idx="241">
                  <c:v>41804</c:v>
                </c:pt>
                <c:pt idx="242">
                  <c:v>41805</c:v>
                </c:pt>
                <c:pt idx="243">
                  <c:v>41806</c:v>
                </c:pt>
                <c:pt idx="244">
                  <c:v>41807</c:v>
                </c:pt>
                <c:pt idx="245">
                  <c:v>41808</c:v>
                </c:pt>
                <c:pt idx="246">
                  <c:v>41809</c:v>
                </c:pt>
                <c:pt idx="247">
                  <c:v>41810</c:v>
                </c:pt>
                <c:pt idx="248">
                  <c:v>41811</c:v>
                </c:pt>
                <c:pt idx="249">
                  <c:v>41812</c:v>
                </c:pt>
                <c:pt idx="250">
                  <c:v>41813</c:v>
                </c:pt>
                <c:pt idx="251">
                  <c:v>41814</c:v>
                </c:pt>
                <c:pt idx="252">
                  <c:v>41815</c:v>
                </c:pt>
                <c:pt idx="253">
                  <c:v>41816</c:v>
                </c:pt>
                <c:pt idx="254">
                  <c:v>41817</c:v>
                </c:pt>
                <c:pt idx="255">
                  <c:v>41818</c:v>
                </c:pt>
                <c:pt idx="256">
                  <c:v>41819</c:v>
                </c:pt>
                <c:pt idx="257">
                  <c:v>41820</c:v>
                </c:pt>
                <c:pt idx="258">
                  <c:v>41821</c:v>
                </c:pt>
                <c:pt idx="259">
                  <c:v>41822</c:v>
                </c:pt>
                <c:pt idx="260">
                  <c:v>41823</c:v>
                </c:pt>
                <c:pt idx="261">
                  <c:v>41824</c:v>
                </c:pt>
                <c:pt idx="262">
                  <c:v>41825</c:v>
                </c:pt>
                <c:pt idx="263">
                  <c:v>41826</c:v>
                </c:pt>
                <c:pt idx="264">
                  <c:v>41827</c:v>
                </c:pt>
                <c:pt idx="265">
                  <c:v>41828</c:v>
                </c:pt>
                <c:pt idx="266">
                  <c:v>41829</c:v>
                </c:pt>
                <c:pt idx="267">
                  <c:v>41830</c:v>
                </c:pt>
                <c:pt idx="268">
                  <c:v>41831</c:v>
                </c:pt>
                <c:pt idx="269">
                  <c:v>41832</c:v>
                </c:pt>
                <c:pt idx="270">
                  <c:v>41833</c:v>
                </c:pt>
                <c:pt idx="271">
                  <c:v>41834</c:v>
                </c:pt>
                <c:pt idx="272">
                  <c:v>41835</c:v>
                </c:pt>
                <c:pt idx="273">
                  <c:v>41836</c:v>
                </c:pt>
                <c:pt idx="274">
                  <c:v>41837</c:v>
                </c:pt>
                <c:pt idx="275">
                  <c:v>41838</c:v>
                </c:pt>
                <c:pt idx="276">
                  <c:v>41839</c:v>
                </c:pt>
                <c:pt idx="277">
                  <c:v>41840</c:v>
                </c:pt>
                <c:pt idx="278">
                  <c:v>41841</c:v>
                </c:pt>
                <c:pt idx="279">
                  <c:v>41842</c:v>
                </c:pt>
                <c:pt idx="280">
                  <c:v>41843</c:v>
                </c:pt>
                <c:pt idx="281">
                  <c:v>41844</c:v>
                </c:pt>
                <c:pt idx="282">
                  <c:v>41845</c:v>
                </c:pt>
                <c:pt idx="283">
                  <c:v>41846</c:v>
                </c:pt>
                <c:pt idx="284">
                  <c:v>41847</c:v>
                </c:pt>
                <c:pt idx="285">
                  <c:v>41848</c:v>
                </c:pt>
                <c:pt idx="286">
                  <c:v>41849</c:v>
                </c:pt>
                <c:pt idx="287">
                  <c:v>41850</c:v>
                </c:pt>
                <c:pt idx="288">
                  <c:v>41851</c:v>
                </c:pt>
                <c:pt idx="289">
                  <c:v>41852</c:v>
                </c:pt>
                <c:pt idx="290">
                  <c:v>41853</c:v>
                </c:pt>
                <c:pt idx="291">
                  <c:v>41854</c:v>
                </c:pt>
                <c:pt idx="292">
                  <c:v>41855</c:v>
                </c:pt>
                <c:pt idx="293">
                  <c:v>41856</c:v>
                </c:pt>
                <c:pt idx="294">
                  <c:v>41857</c:v>
                </c:pt>
                <c:pt idx="295">
                  <c:v>41858</c:v>
                </c:pt>
                <c:pt idx="296">
                  <c:v>41859</c:v>
                </c:pt>
                <c:pt idx="297">
                  <c:v>41860</c:v>
                </c:pt>
                <c:pt idx="298">
                  <c:v>41861</c:v>
                </c:pt>
                <c:pt idx="299">
                  <c:v>41862</c:v>
                </c:pt>
                <c:pt idx="300">
                  <c:v>41863</c:v>
                </c:pt>
                <c:pt idx="301">
                  <c:v>41864</c:v>
                </c:pt>
                <c:pt idx="302">
                  <c:v>41865</c:v>
                </c:pt>
                <c:pt idx="303">
                  <c:v>41866</c:v>
                </c:pt>
                <c:pt idx="304">
                  <c:v>41867</c:v>
                </c:pt>
                <c:pt idx="305">
                  <c:v>41868</c:v>
                </c:pt>
                <c:pt idx="306">
                  <c:v>41869</c:v>
                </c:pt>
              </c:numCache>
            </c:numRef>
          </c:xVal>
          <c:yVal>
            <c:numRef>
              <c:f>DANE!$BB$408:$BB$714</c:f>
              <c:numCache>
                <c:formatCode>General</c:formatCode>
                <c:ptCount val="307"/>
                <c:pt idx="6">
                  <c:v>150</c:v>
                </c:pt>
                <c:pt idx="14">
                  <c:v>60</c:v>
                </c:pt>
                <c:pt idx="20">
                  <c:v>170</c:v>
                </c:pt>
                <c:pt idx="28">
                  <c:v>55</c:v>
                </c:pt>
                <c:pt idx="35">
                  <c:v>80</c:v>
                </c:pt>
                <c:pt idx="41">
                  <c:v>95</c:v>
                </c:pt>
                <c:pt idx="48">
                  <c:v>145</c:v>
                </c:pt>
                <c:pt idx="55">
                  <c:v>100</c:v>
                </c:pt>
                <c:pt idx="78">
                  <c:v>115</c:v>
                </c:pt>
                <c:pt idx="142">
                  <c:v>50</c:v>
                </c:pt>
                <c:pt idx="148">
                  <c:v>45</c:v>
                </c:pt>
                <c:pt idx="160">
                  <c:v>50</c:v>
                </c:pt>
                <c:pt idx="169">
                  <c:v>105</c:v>
                </c:pt>
                <c:pt idx="175">
                  <c:v>60</c:v>
                </c:pt>
                <c:pt idx="183">
                  <c:v>10</c:v>
                </c:pt>
                <c:pt idx="190">
                  <c:v>105</c:v>
                </c:pt>
                <c:pt idx="207">
                  <c:v>115</c:v>
                </c:pt>
                <c:pt idx="210">
                  <c:v>95</c:v>
                </c:pt>
                <c:pt idx="252">
                  <c:v>45</c:v>
                </c:pt>
                <c:pt idx="259">
                  <c:v>60</c:v>
                </c:pt>
                <c:pt idx="273">
                  <c:v>40</c:v>
                </c:pt>
                <c:pt idx="280">
                  <c:v>85</c:v>
                </c:pt>
                <c:pt idx="287">
                  <c:v>80</c:v>
                </c:pt>
                <c:pt idx="294">
                  <c:v>45</c:v>
                </c:pt>
                <c:pt idx="301">
                  <c:v>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04320"/>
        <c:axId val="152104896"/>
      </c:scatterChart>
      <c:valAx>
        <c:axId val="152103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3744"/>
        <c:crosses val="autoZero"/>
        <c:crossBetween val="midCat"/>
        <c:majorUnit val="15"/>
      </c:valAx>
      <c:valAx>
        <c:axId val="15210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100" b="1" i="0" strike="noStrike">
                    <a:solidFill>
                      <a:srgbClr val="000000"/>
                    </a:solidFill>
                    <a:latin typeface="Calibri"/>
                  </a:rPr>
                  <a:t> 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CH</a:t>
                </a:r>
                <a:r>
                  <a:rPr lang="pl-PL" sz="1800" b="1" i="0" strike="noStrike" baseline="-25000">
                    <a:solidFill>
                      <a:srgbClr val="000000"/>
                    </a:solidFill>
                    <a:latin typeface="Calibri"/>
                  </a:rPr>
                  <a:t>4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 i CO</a:t>
                </a:r>
                <a:r>
                  <a:rPr lang="pl-PL" sz="1800" b="1" i="0" strike="noStrike" baseline="-25000">
                    <a:solidFill>
                      <a:srgbClr val="000000"/>
                    </a:solidFill>
                    <a:latin typeface="Calibri"/>
                  </a:rPr>
                  <a:t>2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[%]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 sz="1800" b="1" i="0" strike="noStrike">
                  <a:solidFill>
                    <a:srgbClr val="000000"/>
                  </a:solidFill>
                  <a:latin typeface="Calibri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3168"/>
        <c:crosses val="autoZero"/>
        <c:crossBetween val="midCat"/>
      </c:valAx>
      <c:valAx>
        <c:axId val="15210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2104896"/>
        <c:crosses val="autoZero"/>
        <c:crossBetween val="midCat"/>
      </c:valAx>
      <c:valAx>
        <c:axId val="15210489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H</a:t>
                </a:r>
                <a:r>
                  <a:rPr lang="pl-PL" sz="1800" b="1" i="0" strike="noStrike" baseline="-25000">
                    <a:solidFill>
                      <a:srgbClr val="000000"/>
                    </a:solidFill>
                    <a:latin typeface="Calibri"/>
                  </a:rPr>
                  <a:t>2</a:t>
                </a:r>
                <a:r>
                  <a:rPr lang="pl-PL" sz="1800" b="1" i="0" strike="noStrike">
                    <a:solidFill>
                      <a:srgbClr val="000000"/>
                    </a:solidFill>
                    <a:latin typeface="Calibri"/>
                  </a:rPr>
                  <a:t> S [ppm]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52104320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0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314325</xdr:colOff>
      <xdr:row>2</xdr:row>
      <xdr:rowOff>85725</xdr:rowOff>
    </xdr:from>
    <xdr:to>
      <xdr:col>34</xdr:col>
      <xdr:colOff>314325</xdr:colOff>
      <xdr:row>3</xdr:row>
      <xdr:rowOff>76200</xdr:rowOff>
    </xdr:to>
    <xdr:cxnSp macro="">
      <xdr:nvCxnSpPr>
        <xdr:cNvPr id="2" name="Łącznik prosty ze strzałką 1"/>
        <xdr:cNvCxnSpPr/>
      </xdr:nvCxnSpPr>
      <xdr:spPr>
        <a:xfrm>
          <a:off x="18107025" y="542925"/>
          <a:ext cx="0" cy="180975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333375</xdr:colOff>
      <xdr:row>2</xdr:row>
      <xdr:rowOff>85725</xdr:rowOff>
    </xdr:from>
    <xdr:to>
      <xdr:col>35</xdr:col>
      <xdr:colOff>333375</xdr:colOff>
      <xdr:row>3</xdr:row>
      <xdr:rowOff>76200</xdr:rowOff>
    </xdr:to>
    <xdr:cxnSp macro="">
      <xdr:nvCxnSpPr>
        <xdr:cNvPr id="39796" name="Łącznik prosty ze strzałką 8"/>
        <xdr:cNvCxnSpPr>
          <a:cxnSpLocks noChangeShapeType="1"/>
        </xdr:cNvCxnSpPr>
      </xdr:nvCxnSpPr>
      <xdr:spPr bwMode="auto">
        <a:xfrm>
          <a:off x="22183725" y="533400"/>
          <a:ext cx="0" cy="17145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71</xdr:col>
      <xdr:colOff>304800</xdr:colOff>
      <xdr:row>2</xdr:row>
      <xdr:rowOff>85725</xdr:rowOff>
    </xdr:from>
    <xdr:to>
      <xdr:col>71</xdr:col>
      <xdr:colOff>304800</xdr:colOff>
      <xdr:row>3</xdr:row>
      <xdr:rowOff>76200</xdr:rowOff>
    </xdr:to>
    <xdr:cxnSp macro="">
      <xdr:nvCxnSpPr>
        <xdr:cNvPr id="39797" name="Łącznik prosty ze strzałką 10"/>
        <xdr:cNvCxnSpPr>
          <a:cxnSpLocks noChangeShapeType="1"/>
        </xdr:cNvCxnSpPr>
      </xdr:nvCxnSpPr>
      <xdr:spPr bwMode="auto">
        <a:xfrm>
          <a:off x="46215300" y="533400"/>
          <a:ext cx="0" cy="17145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72</xdr:col>
      <xdr:colOff>323850</xdr:colOff>
      <xdr:row>2</xdr:row>
      <xdr:rowOff>85725</xdr:rowOff>
    </xdr:from>
    <xdr:to>
      <xdr:col>72</xdr:col>
      <xdr:colOff>323850</xdr:colOff>
      <xdr:row>3</xdr:row>
      <xdr:rowOff>76200</xdr:rowOff>
    </xdr:to>
    <xdr:cxnSp macro="">
      <xdr:nvCxnSpPr>
        <xdr:cNvPr id="39798" name="Łącznik prosty ze strzałką 12"/>
        <xdr:cNvCxnSpPr>
          <a:cxnSpLocks noChangeShapeType="1"/>
        </xdr:cNvCxnSpPr>
      </xdr:nvCxnSpPr>
      <xdr:spPr bwMode="auto">
        <a:xfrm>
          <a:off x="46920150" y="533400"/>
          <a:ext cx="0" cy="17145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30</xdr:col>
      <xdr:colOff>523875</xdr:colOff>
      <xdr:row>2</xdr:row>
      <xdr:rowOff>66675</xdr:rowOff>
    </xdr:from>
    <xdr:to>
      <xdr:col>31</xdr:col>
      <xdr:colOff>304800</xdr:colOff>
      <xdr:row>5</xdr:row>
      <xdr:rowOff>447675</xdr:rowOff>
    </xdr:to>
    <xdr:cxnSp macro="">
      <xdr:nvCxnSpPr>
        <xdr:cNvPr id="39799" name="Łącznik prosty ze strzałką 10"/>
        <xdr:cNvCxnSpPr>
          <a:cxnSpLocks noChangeShapeType="1"/>
        </xdr:cNvCxnSpPr>
      </xdr:nvCxnSpPr>
      <xdr:spPr bwMode="auto">
        <a:xfrm>
          <a:off x="18945225" y="514350"/>
          <a:ext cx="466725" cy="1038225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32</xdr:col>
      <xdr:colOff>304800</xdr:colOff>
      <xdr:row>2</xdr:row>
      <xdr:rowOff>28575</xdr:rowOff>
    </xdr:from>
    <xdr:to>
      <xdr:col>32</xdr:col>
      <xdr:colOff>304800</xdr:colOff>
      <xdr:row>5</xdr:row>
      <xdr:rowOff>400050</xdr:rowOff>
    </xdr:to>
    <xdr:cxnSp macro="">
      <xdr:nvCxnSpPr>
        <xdr:cNvPr id="39800" name="Łącznik prosty ze strzałką 13"/>
        <xdr:cNvCxnSpPr>
          <a:cxnSpLocks noChangeShapeType="1"/>
        </xdr:cNvCxnSpPr>
      </xdr:nvCxnSpPr>
      <xdr:spPr bwMode="auto">
        <a:xfrm flipH="1">
          <a:off x="20097750" y="476250"/>
          <a:ext cx="0" cy="102870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67</xdr:col>
      <xdr:colOff>523875</xdr:colOff>
      <xdr:row>2</xdr:row>
      <xdr:rowOff>66675</xdr:rowOff>
    </xdr:from>
    <xdr:to>
      <xdr:col>68</xdr:col>
      <xdr:colOff>304800</xdr:colOff>
      <xdr:row>5</xdr:row>
      <xdr:rowOff>447675</xdr:rowOff>
    </xdr:to>
    <xdr:cxnSp macro="">
      <xdr:nvCxnSpPr>
        <xdr:cNvPr id="39801" name="Łącznik prosty ze strzałką 38"/>
        <xdr:cNvCxnSpPr>
          <a:cxnSpLocks noChangeShapeType="1"/>
        </xdr:cNvCxnSpPr>
      </xdr:nvCxnSpPr>
      <xdr:spPr bwMode="auto">
        <a:xfrm>
          <a:off x="43691175" y="514350"/>
          <a:ext cx="466725" cy="1038225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69</xdr:col>
      <xdr:colOff>304800</xdr:colOff>
      <xdr:row>2</xdr:row>
      <xdr:rowOff>28575</xdr:rowOff>
    </xdr:from>
    <xdr:to>
      <xdr:col>69</xdr:col>
      <xdr:colOff>304800</xdr:colOff>
      <xdr:row>5</xdr:row>
      <xdr:rowOff>400050</xdr:rowOff>
    </xdr:to>
    <xdr:cxnSp macro="">
      <xdr:nvCxnSpPr>
        <xdr:cNvPr id="39802" name="Łącznik prosty ze strzałką 40"/>
        <xdr:cNvCxnSpPr>
          <a:cxnSpLocks noChangeShapeType="1"/>
        </xdr:cNvCxnSpPr>
      </xdr:nvCxnSpPr>
      <xdr:spPr bwMode="auto">
        <a:xfrm flipH="1">
          <a:off x="44843700" y="476250"/>
          <a:ext cx="0" cy="102870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33</xdr:col>
      <xdr:colOff>9525</xdr:colOff>
      <xdr:row>0</xdr:row>
      <xdr:rowOff>38100</xdr:rowOff>
    </xdr:from>
    <xdr:to>
      <xdr:col>35</xdr:col>
      <xdr:colOff>0</xdr:colOff>
      <xdr:row>2</xdr:row>
      <xdr:rowOff>38100</xdr:rowOff>
    </xdr:to>
    <xdr:pic>
      <xdr:nvPicPr>
        <xdr:cNvPr id="39803" name="Object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88275" y="38100"/>
          <a:ext cx="13620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35</xdr:col>
      <xdr:colOff>76200</xdr:colOff>
      <xdr:row>0</xdr:row>
      <xdr:rowOff>47625</xdr:rowOff>
    </xdr:from>
    <xdr:to>
      <xdr:col>37</xdr:col>
      <xdr:colOff>47625</xdr:colOff>
      <xdr:row>2</xdr:row>
      <xdr:rowOff>57150</xdr:rowOff>
    </xdr:to>
    <xdr:pic>
      <xdr:nvPicPr>
        <xdr:cNvPr id="39804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26550" y="47625"/>
          <a:ext cx="1362075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70</xdr:col>
      <xdr:colOff>0</xdr:colOff>
      <xdr:row>0</xdr:row>
      <xdr:rowOff>38100</xdr:rowOff>
    </xdr:from>
    <xdr:to>
      <xdr:col>71</xdr:col>
      <xdr:colOff>600075</xdr:colOff>
      <xdr:row>2</xdr:row>
      <xdr:rowOff>38100</xdr:rowOff>
    </xdr:to>
    <xdr:pic>
      <xdr:nvPicPr>
        <xdr:cNvPr id="39805" name="Object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224700" y="38100"/>
          <a:ext cx="12858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72</xdr:col>
      <xdr:colOff>66675</xdr:colOff>
      <xdr:row>0</xdr:row>
      <xdr:rowOff>47625</xdr:rowOff>
    </xdr:from>
    <xdr:to>
      <xdr:col>74</xdr:col>
      <xdr:colOff>38100</xdr:colOff>
      <xdr:row>2</xdr:row>
      <xdr:rowOff>57150</xdr:rowOff>
    </xdr:to>
    <xdr:pic>
      <xdr:nvPicPr>
        <xdr:cNvPr id="39806" name="Object 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62975" y="47625"/>
          <a:ext cx="1343025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28</xdr:col>
      <xdr:colOff>47625</xdr:colOff>
      <xdr:row>0</xdr:row>
      <xdr:rowOff>0</xdr:rowOff>
    </xdr:from>
    <xdr:to>
      <xdr:col>31</xdr:col>
      <xdr:colOff>95250</xdr:colOff>
      <xdr:row>2</xdr:row>
      <xdr:rowOff>19050</xdr:rowOff>
    </xdr:to>
    <xdr:pic>
      <xdr:nvPicPr>
        <xdr:cNvPr id="39807" name="Object 1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061656" y="0"/>
          <a:ext cx="2119313" cy="45958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31</xdr:col>
      <xdr:colOff>142875</xdr:colOff>
      <xdr:row>0</xdr:row>
      <xdr:rowOff>38100</xdr:rowOff>
    </xdr:from>
    <xdr:to>
      <xdr:col>33</xdr:col>
      <xdr:colOff>47625</xdr:colOff>
      <xdr:row>2</xdr:row>
      <xdr:rowOff>9525</xdr:rowOff>
    </xdr:to>
    <xdr:pic>
      <xdr:nvPicPr>
        <xdr:cNvPr id="39808" name="Object 1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250025" y="38100"/>
          <a:ext cx="1276350" cy="419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65</xdr:col>
      <xdr:colOff>47625</xdr:colOff>
      <xdr:row>0</xdr:row>
      <xdr:rowOff>0</xdr:rowOff>
    </xdr:from>
    <xdr:to>
      <xdr:col>68</xdr:col>
      <xdr:colOff>95250</xdr:colOff>
      <xdr:row>2</xdr:row>
      <xdr:rowOff>19050</xdr:rowOff>
    </xdr:to>
    <xdr:pic>
      <xdr:nvPicPr>
        <xdr:cNvPr id="39809" name="Object 1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1748075" y="0"/>
          <a:ext cx="2200275" cy="466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68</xdr:col>
      <xdr:colOff>66675</xdr:colOff>
      <xdr:row>0</xdr:row>
      <xdr:rowOff>47625</xdr:rowOff>
    </xdr:from>
    <xdr:to>
      <xdr:col>69</xdr:col>
      <xdr:colOff>409575</xdr:colOff>
      <xdr:row>2</xdr:row>
      <xdr:rowOff>161925</xdr:rowOff>
    </xdr:to>
    <xdr:pic>
      <xdr:nvPicPr>
        <xdr:cNvPr id="39810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919775" y="47625"/>
          <a:ext cx="102870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58</xdr:col>
      <xdr:colOff>381000</xdr:colOff>
      <xdr:row>2</xdr:row>
      <xdr:rowOff>0</xdr:rowOff>
    </xdr:from>
    <xdr:to>
      <xdr:col>58</xdr:col>
      <xdr:colOff>381000</xdr:colOff>
      <xdr:row>2</xdr:row>
      <xdr:rowOff>171450</xdr:rowOff>
    </xdr:to>
    <xdr:cxnSp macro="">
      <xdr:nvCxnSpPr>
        <xdr:cNvPr id="39811" name="Łącznik prosty ze strzałką 10"/>
        <xdr:cNvCxnSpPr>
          <a:cxnSpLocks noChangeShapeType="1"/>
        </xdr:cNvCxnSpPr>
      </xdr:nvCxnSpPr>
      <xdr:spPr bwMode="auto">
        <a:xfrm>
          <a:off x="37261800" y="447675"/>
          <a:ext cx="0" cy="17145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  <xdr:twoCellAnchor>
    <xdr:from>
      <xdr:col>74</xdr:col>
      <xdr:colOff>361950</xdr:colOff>
      <xdr:row>2</xdr:row>
      <xdr:rowOff>28575</xdr:rowOff>
    </xdr:from>
    <xdr:to>
      <xdr:col>74</xdr:col>
      <xdr:colOff>361950</xdr:colOff>
      <xdr:row>3</xdr:row>
      <xdr:rowOff>19050</xdr:rowOff>
    </xdr:to>
    <xdr:cxnSp macro="">
      <xdr:nvCxnSpPr>
        <xdr:cNvPr id="39812" name="Łącznik prosty ze strzałką 10"/>
        <xdr:cNvCxnSpPr>
          <a:cxnSpLocks noChangeShapeType="1"/>
        </xdr:cNvCxnSpPr>
      </xdr:nvCxnSpPr>
      <xdr:spPr bwMode="auto">
        <a:xfrm>
          <a:off x="48329850" y="476250"/>
          <a:ext cx="0" cy="171450"/>
        </a:xfrm>
        <a:prstGeom prst="straightConnector1">
          <a:avLst/>
        </a:prstGeom>
        <a:noFill/>
        <a:ln w="38100" algn="ctr">
          <a:solidFill>
            <a:srgbClr val="4A7EBB"/>
          </a:solidFill>
          <a:round/>
          <a:headEnd/>
          <a:tailEnd type="arrow" w="med" len="med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0.12201</cdr:x>
      <cdr:y>0.14752</cdr:y>
    </cdr:from>
    <cdr:to>
      <cdr:x>0.22355</cdr:x>
      <cdr:y>0.20366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1135050" y="896954"/>
          <a:ext cx="944601" cy="341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pl-PL" sz="1100"/>
            <a:t>osad surowy</a:t>
          </a:r>
        </a:p>
      </cdr:txBody>
    </cdr:sp>
  </cdr:relSizeAnchor>
  <cdr:relSizeAnchor xmlns:cdr="http://schemas.openxmlformats.org/drawingml/2006/chartDrawing">
    <cdr:from>
      <cdr:x>0.09505</cdr:x>
      <cdr:y>0.31384</cdr:y>
    </cdr:from>
    <cdr:to>
      <cdr:x>0.31229</cdr:x>
      <cdr:y>0.35379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884237" y="1908175"/>
          <a:ext cx="2020887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przefermentowany</a:t>
          </a:r>
        </a:p>
      </cdr:txBody>
    </cdr:sp>
  </cdr:relSizeAnchor>
  <cdr:relSizeAnchor xmlns:cdr="http://schemas.openxmlformats.org/drawingml/2006/chartDrawing">
    <cdr:from>
      <cdr:x>0.67697</cdr:x>
      <cdr:y>0.43865</cdr:y>
    </cdr:from>
    <cdr:to>
      <cdr:x>0.77851</cdr:x>
      <cdr:y>0.45953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6299787" y="2665625"/>
          <a:ext cx="944923" cy="126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surowy</a:t>
          </a:r>
        </a:p>
      </cdr:txBody>
    </cdr:sp>
  </cdr:relSizeAnchor>
  <cdr:relSizeAnchor xmlns:cdr="http://schemas.openxmlformats.org/drawingml/2006/chartDrawing">
    <cdr:from>
      <cdr:x>0.1744</cdr:x>
      <cdr:y>0.60157</cdr:y>
    </cdr:from>
    <cdr:to>
      <cdr:x>0.39164</cdr:x>
      <cdr:y>0.64151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1622425" y="3657600"/>
          <a:ext cx="2020887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przefermentowany</a:t>
          </a:r>
        </a:p>
      </cdr:txBody>
    </cdr:sp>
  </cdr:relSizeAnchor>
  <cdr:relSizeAnchor xmlns:cdr="http://schemas.openxmlformats.org/drawingml/2006/chartDrawing">
    <cdr:from>
      <cdr:x>0.46211</cdr:x>
      <cdr:y>0.14825</cdr:y>
    </cdr:from>
    <cdr:to>
      <cdr:x>0.56365</cdr:x>
      <cdr:y>0.16914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4300404" y="900934"/>
          <a:ext cx="944923" cy="12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400" b="1"/>
            <a:t>S.M.O.</a:t>
          </a:r>
        </a:p>
      </cdr:txBody>
    </cdr:sp>
  </cdr:relSizeAnchor>
  <cdr:relSizeAnchor xmlns:cdr="http://schemas.openxmlformats.org/drawingml/2006/chartDrawing">
    <cdr:from>
      <cdr:x>0.27771</cdr:x>
      <cdr:y>0.48018</cdr:y>
    </cdr:from>
    <cdr:to>
      <cdr:x>0.37925</cdr:x>
      <cdr:y>0.50107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584381" y="2918029"/>
          <a:ext cx="944924" cy="126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400" b="1"/>
            <a:t>S.M.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0.19078</cdr:x>
      <cdr:y>0.14358</cdr:y>
    </cdr:from>
    <cdr:to>
      <cdr:x>0.29232</cdr:x>
      <cdr:y>0.16447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1775390" y="872554"/>
          <a:ext cx="944924" cy="12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surowy</a:t>
          </a:r>
        </a:p>
      </cdr:txBody>
    </cdr:sp>
  </cdr:relSizeAnchor>
  <cdr:relSizeAnchor xmlns:cdr="http://schemas.openxmlformats.org/drawingml/2006/chartDrawing">
    <cdr:from>
      <cdr:x>0.16928</cdr:x>
      <cdr:y>0.33003</cdr:y>
    </cdr:from>
    <cdr:to>
      <cdr:x>0.38652</cdr:x>
      <cdr:y>0.36997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1574800" y="2006600"/>
          <a:ext cx="2020887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przefermentowany</a:t>
          </a:r>
        </a:p>
      </cdr:txBody>
    </cdr:sp>
  </cdr:relSizeAnchor>
  <cdr:relSizeAnchor xmlns:cdr="http://schemas.openxmlformats.org/drawingml/2006/chartDrawing">
    <cdr:from>
      <cdr:x>0.67373</cdr:x>
      <cdr:y>0.43811</cdr:y>
    </cdr:from>
    <cdr:to>
      <cdr:x>0.77527</cdr:x>
      <cdr:y>0.459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6269661" y="2662364"/>
          <a:ext cx="944923" cy="12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surowy</a:t>
          </a:r>
        </a:p>
      </cdr:txBody>
    </cdr:sp>
  </cdr:relSizeAnchor>
  <cdr:relSizeAnchor xmlns:cdr="http://schemas.openxmlformats.org/drawingml/2006/chartDrawing">
    <cdr:from>
      <cdr:x>0.35694</cdr:x>
      <cdr:y>0.63161</cdr:y>
    </cdr:from>
    <cdr:to>
      <cdr:x>0.57418</cdr:x>
      <cdr:y>0.67156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3321690" y="3838263"/>
          <a:ext cx="2021619" cy="24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osad przefermentowany</a:t>
          </a:r>
        </a:p>
      </cdr:txBody>
    </cdr:sp>
  </cdr:relSizeAnchor>
  <cdr:relSizeAnchor xmlns:cdr="http://schemas.openxmlformats.org/drawingml/2006/chartDrawing">
    <cdr:from>
      <cdr:x>0.43246</cdr:x>
      <cdr:y>0.15322</cdr:y>
    </cdr:from>
    <cdr:to>
      <cdr:x>0.53399</cdr:x>
      <cdr:y>0.17411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4024429" y="931121"/>
          <a:ext cx="944830" cy="126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400" b="1"/>
            <a:t>S.M.O.</a:t>
          </a:r>
        </a:p>
      </cdr:txBody>
    </cdr:sp>
  </cdr:relSizeAnchor>
  <cdr:relSizeAnchor xmlns:cdr="http://schemas.openxmlformats.org/drawingml/2006/chartDrawing">
    <cdr:from>
      <cdr:x>0.46176</cdr:x>
      <cdr:y>0.43521</cdr:y>
    </cdr:from>
    <cdr:to>
      <cdr:x>0.5633</cdr:x>
      <cdr:y>0.4561</cdr:y>
    </cdr:to>
    <cdr:sp macro="" textlink="">
      <cdr:nvSpPr>
        <cdr:cNvPr id="13" name="pole tekstowe 1"/>
        <cdr:cNvSpPr txBox="1"/>
      </cdr:nvSpPr>
      <cdr:spPr>
        <a:xfrm xmlns:a="http://schemas.openxmlformats.org/drawingml/2006/main">
          <a:off x="4297145" y="2644723"/>
          <a:ext cx="944923" cy="12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400" b="1"/>
            <a:t>S.M.</a:t>
          </a: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H719"/>
  <sheetViews>
    <sheetView tabSelected="1" zoomScale="80" zoomScaleNormal="80" workbookViewId="0">
      <pane xSplit="3" ySplit="8" topLeftCell="BU698" activePane="bottomRight" state="frozen"/>
      <selection pane="topRight" activeCell="E1" sqref="E1"/>
      <selection pane="bottomLeft" activeCell="A9" sqref="A9"/>
      <selection pane="bottomRight" activeCell="BY707" sqref="BY707"/>
    </sheetView>
  </sheetViews>
  <sheetFormatPr defaultRowHeight="14.25"/>
  <cols>
    <col min="1" max="1" width="11" bestFit="1" customWidth="1"/>
    <col min="2" max="3" width="10.25" bestFit="1" customWidth="1"/>
    <col min="4" max="4" width="11.375" bestFit="1" customWidth="1"/>
    <col min="5" max="5" width="12.5" bestFit="1" customWidth="1"/>
    <col min="6" max="9" width="9.125" bestFit="1" customWidth="1"/>
    <col min="10" max="11" width="9.125" customWidth="1"/>
    <col min="12" max="14" width="9.125" bestFit="1" customWidth="1"/>
    <col min="15" max="15" width="10.125" hidden="1" customWidth="1"/>
    <col min="16" max="16" width="9.125" bestFit="1" customWidth="1"/>
    <col min="17" max="17" width="10.375" bestFit="1" customWidth="1"/>
    <col min="18" max="18" width="9.125" bestFit="1" customWidth="1"/>
    <col min="19" max="21" width="0" hidden="1" customWidth="1"/>
    <col min="22" max="22" width="8" customWidth="1"/>
    <col min="23" max="23" width="10.25" customWidth="1"/>
    <col min="36" max="36" width="9.25" bestFit="1" customWidth="1"/>
    <col min="39" max="39" width="11.5" bestFit="1" customWidth="1"/>
    <col min="42" max="42" width="9.75" customWidth="1"/>
    <col min="43" max="43" width="11.875" customWidth="1"/>
    <col min="46" max="46" width="9.625" bestFit="1" customWidth="1"/>
    <col min="47" max="47" width="9.5" bestFit="1" customWidth="1"/>
    <col min="48" max="48" width="9.625" bestFit="1" customWidth="1"/>
    <col min="55" max="55" width="25.25" customWidth="1"/>
    <col min="56" max="58" width="0" hidden="1" customWidth="1"/>
    <col min="59" max="59" width="9.25" bestFit="1" customWidth="1"/>
    <col min="60" max="60" width="10.25" bestFit="1" customWidth="1"/>
    <col min="64" max="65" width="9.125" customWidth="1"/>
    <col min="67" max="67" width="10.25" customWidth="1"/>
    <col min="80" max="80" width="11.25" customWidth="1"/>
    <col min="83" max="83" width="9.625" bestFit="1" customWidth="1"/>
    <col min="84" max="84" width="9.5" bestFit="1" customWidth="1"/>
    <col min="85" max="85" width="9.625" bestFit="1" customWidth="1"/>
    <col min="92" max="92" width="26.375" customWidth="1"/>
    <col min="93" max="93" width="18.875" customWidth="1"/>
  </cols>
  <sheetData>
    <row r="1" spans="1:92">
      <c r="N1" t="s">
        <v>0</v>
      </c>
      <c r="P1">
        <v>9.5</v>
      </c>
      <c r="Q1" s="726">
        <v>0.05</v>
      </c>
      <c r="R1" s="1">
        <v>3.8</v>
      </c>
      <c r="V1" t="s">
        <v>2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>
        <v>2.16</v>
      </c>
      <c r="AR1" s="1" t="s">
        <v>6</v>
      </c>
      <c r="AS1" s="1"/>
      <c r="AT1" s="1"/>
      <c r="AU1" s="1"/>
      <c r="AV1" s="1"/>
      <c r="AW1" s="1"/>
      <c r="AX1" s="1"/>
      <c r="AY1" s="1"/>
      <c r="AZ1" s="1"/>
      <c r="BA1" s="1"/>
      <c r="BB1" s="1"/>
      <c r="BC1" t="s">
        <v>2</v>
      </c>
      <c r="BD1" s="1"/>
      <c r="BE1" s="1"/>
      <c r="BG1" s="1"/>
      <c r="BH1" s="1"/>
      <c r="BI1" s="1"/>
      <c r="BJ1" s="1"/>
      <c r="BK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>
        <v>2</v>
      </c>
      <c r="CC1" s="1" t="s">
        <v>6</v>
      </c>
      <c r="CD1" s="1"/>
      <c r="CE1" s="538">
        <f>MIN(CC39:CC119)</f>
        <v>245.3125</v>
      </c>
      <c r="CF1" s="1"/>
      <c r="CG1" s="1"/>
      <c r="CH1" s="1"/>
      <c r="CI1" s="1"/>
      <c r="CJ1" s="1"/>
      <c r="CK1" s="1"/>
      <c r="CL1" s="1"/>
      <c r="CM1" s="1"/>
      <c r="CN1" s="1"/>
    </row>
    <row r="2" spans="1:92" ht="21">
      <c r="E2" s="2" t="s">
        <v>73</v>
      </c>
      <c r="N2" t="s">
        <v>149</v>
      </c>
      <c r="P2">
        <v>14</v>
      </c>
      <c r="Q2" s="726">
        <v>0.08</v>
      </c>
      <c r="R2" s="1"/>
      <c r="V2" s="3">
        <f>((3.14*90*90/4)*1)/1000</f>
        <v>6.3585000000000012</v>
      </c>
      <c r="W2" s="1" t="s">
        <v>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L2" s="1"/>
      <c r="AM2" s="1"/>
      <c r="AN2" s="1"/>
      <c r="AO2" s="1"/>
      <c r="AP2" s="4">
        <f>((3.14*2.5*2.5)/4)*13.7</f>
        <v>67.215625000000003</v>
      </c>
      <c r="AQ2" s="360">
        <f>((3.14*2.5*2.5)/4)*12.3</f>
        <v>60.346875000000004</v>
      </c>
      <c r="AR2" s="4" t="s">
        <v>4</v>
      </c>
      <c r="AS2" s="4"/>
      <c r="AT2" s="4"/>
      <c r="AU2" s="4"/>
      <c r="AV2" s="4"/>
      <c r="AW2" s="4"/>
      <c r="AX2" s="4"/>
      <c r="AY2" s="4"/>
      <c r="AZ2" s="4"/>
      <c r="BA2" s="4"/>
      <c r="BB2" s="1" t="s">
        <v>5</v>
      </c>
      <c r="BC2" s="3">
        <f>((3.14*90*90/4)*1)/1000</f>
        <v>6.3585000000000012</v>
      </c>
      <c r="BD2" s="1"/>
      <c r="BE2" s="1"/>
      <c r="BG2" s="394" t="s">
        <v>94</v>
      </c>
      <c r="BH2" s="1"/>
      <c r="BI2" s="1"/>
      <c r="BJ2" s="1"/>
      <c r="BK2" s="1"/>
      <c r="BN2" s="1"/>
      <c r="BO2" s="1"/>
      <c r="BP2" s="1"/>
      <c r="BQ2" s="1"/>
      <c r="BR2" s="1"/>
      <c r="BS2" s="1"/>
      <c r="BT2" s="1"/>
      <c r="BU2" s="1"/>
      <c r="BV2" s="1"/>
      <c r="BW2" s="394" t="s">
        <v>95</v>
      </c>
      <c r="BX2" s="1"/>
      <c r="BY2" s="1"/>
      <c r="BZ2" s="1"/>
      <c r="CA2" s="361">
        <f>((3.14*2.5*2.5)/4)*13.9</f>
        <v>68.196875000000006</v>
      </c>
      <c r="CB2" s="360">
        <f>((3.14*2.5*2.5)/4)*12.5</f>
        <v>61.328125</v>
      </c>
      <c r="CC2" s="4" t="s">
        <v>4</v>
      </c>
      <c r="CD2" s="4"/>
      <c r="CE2" s="537">
        <f>MAX(CC39:CC119)</f>
        <v>858.59375</v>
      </c>
      <c r="CF2" s="4"/>
      <c r="CG2" s="4"/>
      <c r="CH2" s="4"/>
      <c r="CI2" s="4"/>
      <c r="CJ2" s="4"/>
      <c r="CK2" s="4"/>
      <c r="CL2" s="4"/>
      <c r="CM2" s="1" t="s">
        <v>5</v>
      </c>
      <c r="CN2" s="1"/>
    </row>
    <row r="3" spans="1:9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>
        <v>1413</v>
      </c>
      <c r="AR3" s="1" t="s">
        <v>6</v>
      </c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G3" s="1"/>
      <c r="BH3" s="1"/>
      <c r="BI3" s="1"/>
      <c r="BJ3" s="1"/>
      <c r="BK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>
        <v>746</v>
      </c>
      <c r="CC3" s="1" t="s">
        <v>6</v>
      </c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ht="21.75" thickBot="1">
      <c r="N4">
        <f>(3.14*80*80/4)/1000</f>
        <v>5.024</v>
      </c>
      <c r="Q4" s="1" t="s">
        <v>3</v>
      </c>
      <c r="S4" s="418" t="s">
        <v>7</v>
      </c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7" t="s">
        <v>8</v>
      </c>
      <c r="BE4" s="417"/>
      <c r="BF4" s="417"/>
      <c r="BG4" s="417"/>
      <c r="BH4" s="417"/>
      <c r="BI4" s="417"/>
      <c r="BJ4" s="417"/>
      <c r="BK4" s="417"/>
      <c r="BN4" s="417"/>
      <c r="BO4" s="417"/>
      <c r="BP4" s="417"/>
      <c r="BQ4" s="417"/>
      <c r="BR4" s="417"/>
      <c r="BS4" s="417"/>
      <c r="BT4" s="417"/>
      <c r="BU4" s="417"/>
      <c r="BV4" s="417"/>
      <c r="BW4" s="417"/>
      <c r="BX4" s="417"/>
      <c r="BY4" s="417"/>
      <c r="BZ4" s="417"/>
      <c r="CA4" s="417"/>
      <c r="CB4" s="417"/>
      <c r="CC4" s="417"/>
      <c r="CD4" s="417"/>
      <c r="CE4" s="417"/>
      <c r="CF4" s="417"/>
      <c r="CG4" s="417"/>
      <c r="CH4" s="417"/>
      <c r="CI4" s="417"/>
      <c r="CJ4" s="417"/>
      <c r="CK4" s="417"/>
      <c r="CL4" s="417"/>
      <c r="CM4" s="417"/>
      <c r="CN4" s="417"/>
    </row>
    <row r="5" spans="1:92" ht="15.75" customHeight="1" thickBot="1">
      <c r="A5" s="1163" t="s">
        <v>9</v>
      </c>
      <c r="B5" s="1160" t="s">
        <v>10</v>
      </c>
      <c r="C5" s="404"/>
      <c r="D5" s="1133" t="s">
        <v>11</v>
      </c>
      <c r="E5" s="1134"/>
      <c r="F5" s="1134"/>
      <c r="G5" s="1134"/>
      <c r="H5" s="1134"/>
      <c r="I5" s="1134"/>
      <c r="J5" s="1134"/>
      <c r="K5" s="1134"/>
      <c r="L5" s="1135"/>
      <c r="M5" s="1119" t="s">
        <v>12</v>
      </c>
      <c r="N5" s="1120"/>
      <c r="O5" s="1120" t="s">
        <v>13</v>
      </c>
      <c r="P5" s="5"/>
      <c r="Q5" s="5"/>
      <c r="R5" s="5"/>
      <c r="S5" s="1123" t="s">
        <v>14</v>
      </c>
      <c r="T5" s="1124"/>
      <c r="U5" s="1125"/>
      <c r="V5" s="1141" t="s">
        <v>15</v>
      </c>
      <c r="W5" s="1142"/>
      <c r="X5" s="1142"/>
      <c r="Y5" s="1142"/>
      <c r="Z5" s="1142"/>
      <c r="AA5" s="1142"/>
      <c r="AB5" s="1142"/>
      <c r="AC5" s="1143"/>
      <c r="AD5" s="6"/>
      <c r="AE5" s="6"/>
      <c r="AF5" s="6"/>
      <c r="AG5" s="6"/>
      <c r="AH5" s="6"/>
      <c r="AI5" s="7"/>
      <c r="AJ5" s="8"/>
      <c r="AK5" s="419" t="s">
        <v>16</v>
      </c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420"/>
      <c r="AY5" s="420"/>
      <c r="AZ5" s="420"/>
      <c r="BA5" s="420"/>
      <c r="BB5" s="420"/>
      <c r="BC5" s="9"/>
      <c r="BD5" s="1147" t="s">
        <v>17</v>
      </c>
      <c r="BE5" s="1148"/>
      <c r="BF5" s="1149"/>
      <c r="BG5" s="1137" t="s">
        <v>18</v>
      </c>
      <c r="BH5" s="1138"/>
      <c r="BI5" s="1138"/>
      <c r="BJ5" s="1138"/>
      <c r="BK5" s="1138"/>
      <c r="BL5" s="1138"/>
      <c r="BM5" s="1138"/>
      <c r="BN5" s="1139"/>
      <c r="BO5" s="10"/>
      <c r="BP5" s="10"/>
      <c r="BQ5" s="10"/>
      <c r="BR5" s="10"/>
      <c r="BS5" s="10"/>
      <c r="BT5" s="11"/>
      <c r="BU5" s="12"/>
      <c r="BV5" s="1147" t="s">
        <v>16</v>
      </c>
      <c r="BW5" s="1148"/>
      <c r="BX5" s="1148"/>
      <c r="BY5" s="1148"/>
      <c r="BZ5" s="1148"/>
      <c r="CA5" s="1148"/>
      <c r="CB5" s="1148"/>
      <c r="CC5" s="1148"/>
      <c r="CD5" s="1148"/>
      <c r="CE5" s="1148"/>
      <c r="CF5" s="1148"/>
      <c r="CG5" s="1148"/>
      <c r="CH5" s="1148"/>
      <c r="CI5" s="1148"/>
      <c r="CJ5" s="1148"/>
      <c r="CK5" s="1148"/>
      <c r="CL5" s="1148"/>
      <c r="CM5" s="1148"/>
      <c r="CN5" s="1149"/>
    </row>
    <row r="6" spans="1:92" ht="43.5" customHeight="1" thickBot="1">
      <c r="A6" s="1164"/>
      <c r="B6" s="1161"/>
      <c r="C6" s="1156" t="s">
        <v>19</v>
      </c>
      <c r="D6" s="1116" t="s">
        <v>20</v>
      </c>
      <c r="E6" s="1117"/>
      <c r="F6" s="1117"/>
      <c r="G6" s="1118"/>
      <c r="H6" s="1116" t="s">
        <v>99</v>
      </c>
      <c r="I6" s="1117"/>
      <c r="J6" s="1117"/>
      <c r="K6" s="1117"/>
      <c r="L6" s="1118"/>
      <c r="M6" s="1121"/>
      <c r="N6" s="1122"/>
      <c r="O6" s="1122"/>
      <c r="P6" s="1129" t="s">
        <v>21</v>
      </c>
      <c r="Q6" s="1130"/>
      <c r="R6" s="1131"/>
      <c r="S6" s="1126"/>
      <c r="T6" s="1127"/>
      <c r="U6" s="1128"/>
      <c r="V6" s="1132" t="s">
        <v>20</v>
      </c>
      <c r="W6" s="1112"/>
      <c r="X6" s="1113"/>
      <c r="Y6" s="1111" t="s">
        <v>99</v>
      </c>
      <c r="Z6" s="1112"/>
      <c r="AA6" s="1112"/>
      <c r="AB6" s="1112"/>
      <c r="AC6" s="1140"/>
      <c r="AD6" s="13"/>
      <c r="AE6" s="14"/>
      <c r="AF6" s="14"/>
      <c r="AG6" s="15"/>
      <c r="AH6" s="13"/>
      <c r="AI6" s="15"/>
      <c r="AJ6" s="16"/>
      <c r="AK6" s="1132" t="s">
        <v>22</v>
      </c>
      <c r="AL6" s="1112"/>
      <c r="AM6" s="302" t="s">
        <v>80</v>
      </c>
      <c r="AN6" s="302" t="s">
        <v>23</v>
      </c>
      <c r="AO6" s="302" t="s">
        <v>81</v>
      </c>
      <c r="AP6" s="17" t="s">
        <v>24</v>
      </c>
      <c r="AQ6" s="1144" t="s">
        <v>25</v>
      </c>
      <c r="AR6" s="1146"/>
      <c r="AS6" s="18"/>
      <c r="AT6" s="1144" t="s">
        <v>26</v>
      </c>
      <c r="AU6" s="1145"/>
      <c r="AV6" s="1146"/>
      <c r="AW6" s="18"/>
      <c r="AX6" s="1111" t="s">
        <v>27</v>
      </c>
      <c r="AY6" s="1112"/>
      <c r="AZ6" s="1112"/>
      <c r="BA6" s="1112"/>
      <c r="BB6" s="1113"/>
      <c r="BC6" s="19" t="s">
        <v>28</v>
      </c>
      <c r="BD6" s="1150"/>
      <c r="BE6" s="1151"/>
      <c r="BF6" s="1152"/>
      <c r="BG6" s="1114" t="s">
        <v>20</v>
      </c>
      <c r="BH6" s="1115"/>
      <c r="BI6" s="1115"/>
      <c r="BJ6" s="1115" t="s">
        <v>99</v>
      </c>
      <c r="BK6" s="1115"/>
      <c r="BL6" s="1115"/>
      <c r="BM6" s="1115"/>
      <c r="BN6" s="1166"/>
      <c r="BO6" s="20"/>
      <c r="BP6" s="21"/>
      <c r="BQ6" s="21"/>
      <c r="BR6" s="22"/>
      <c r="BS6" s="20"/>
      <c r="BT6" s="22"/>
      <c r="BU6" s="23"/>
      <c r="BV6" s="1114" t="s">
        <v>22</v>
      </c>
      <c r="BW6" s="1115"/>
      <c r="BX6" s="303" t="s">
        <v>80</v>
      </c>
      <c r="BY6" s="24" t="s">
        <v>23</v>
      </c>
      <c r="BZ6" s="24" t="s">
        <v>81</v>
      </c>
      <c r="CA6" s="24" t="s">
        <v>24</v>
      </c>
      <c r="CB6" s="1169" t="s">
        <v>25</v>
      </c>
      <c r="CC6" s="1170"/>
      <c r="CD6" s="25"/>
      <c r="CE6" s="1169" t="s">
        <v>26</v>
      </c>
      <c r="CF6" s="1171"/>
      <c r="CG6" s="1171"/>
      <c r="CH6" s="1170"/>
      <c r="CI6" s="1167" t="s">
        <v>27</v>
      </c>
      <c r="CJ6" s="1115"/>
      <c r="CK6" s="1115"/>
      <c r="CL6" s="1115"/>
      <c r="CM6" s="1168"/>
      <c r="CN6" s="26" t="s">
        <v>28</v>
      </c>
    </row>
    <row r="7" spans="1:92" ht="15">
      <c r="A7" s="1164"/>
      <c r="B7" s="1161"/>
      <c r="C7" s="1156"/>
      <c r="D7" s="27" t="s">
        <v>29</v>
      </c>
      <c r="E7" s="28" t="s">
        <v>30</v>
      </c>
      <c r="F7" s="28" t="s">
        <v>31</v>
      </c>
      <c r="G7" s="28" t="s">
        <v>32</v>
      </c>
      <c r="H7" s="28" t="s">
        <v>33</v>
      </c>
      <c r="I7" s="28" t="s">
        <v>34</v>
      </c>
      <c r="J7" s="370" t="s">
        <v>103</v>
      </c>
      <c r="K7" s="370" t="s">
        <v>104</v>
      </c>
      <c r="L7" s="29" t="s">
        <v>35</v>
      </c>
      <c r="M7" s="1121"/>
      <c r="N7" s="1122"/>
      <c r="O7" s="1136"/>
      <c r="P7" s="30"/>
      <c r="Q7" s="31"/>
      <c r="R7" s="31" t="s">
        <v>36</v>
      </c>
      <c r="S7" s="1126"/>
      <c r="T7" s="1127"/>
      <c r="U7" s="1128"/>
      <c r="V7" s="32" t="s">
        <v>29</v>
      </c>
      <c r="W7" s="33" t="s">
        <v>30</v>
      </c>
      <c r="X7" s="33" t="s">
        <v>31</v>
      </c>
      <c r="Y7" s="33" t="s">
        <v>33</v>
      </c>
      <c r="Z7" s="33" t="s">
        <v>34</v>
      </c>
      <c r="AA7" s="438" t="s">
        <v>103</v>
      </c>
      <c r="AB7" s="438" t="s">
        <v>104</v>
      </c>
      <c r="AC7" s="34" t="s">
        <v>35</v>
      </c>
      <c r="AD7" s="35" t="s">
        <v>29</v>
      </c>
      <c r="AE7" s="1109" t="s">
        <v>37</v>
      </c>
      <c r="AF7" s="1109"/>
      <c r="AG7" s="1110"/>
      <c r="AH7" s="1176" t="s">
        <v>38</v>
      </c>
      <c r="AI7" s="1109"/>
      <c r="AJ7" s="1177"/>
      <c r="AK7" s="32" t="s">
        <v>32</v>
      </c>
      <c r="AL7" s="33" t="s">
        <v>39</v>
      </c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 t="s">
        <v>41</v>
      </c>
      <c r="AY7" s="33" t="s">
        <v>42</v>
      </c>
      <c r="AZ7" s="33" t="s">
        <v>43</v>
      </c>
      <c r="BA7" s="33" t="s">
        <v>44</v>
      </c>
      <c r="BB7" s="33" t="s">
        <v>45</v>
      </c>
      <c r="BC7" s="36"/>
      <c r="BD7" s="1153"/>
      <c r="BE7" s="1154"/>
      <c r="BF7" s="1155"/>
      <c r="BG7" s="37" t="s">
        <v>29</v>
      </c>
      <c r="BH7" s="38" t="s">
        <v>30</v>
      </c>
      <c r="BI7" s="38" t="s">
        <v>31</v>
      </c>
      <c r="BJ7" s="38" t="s">
        <v>33</v>
      </c>
      <c r="BK7" s="38" t="s">
        <v>34</v>
      </c>
      <c r="BL7" s="38" t="s">
        <v>103</v>
      </c>
      <c r="BM7" s="38" t="s">
        <v>104</v>
      </c>
      <c r="BN7" s="39" t="s">
        <v>35</v>
      </c>
      <c r="BO7" s="40" t="s">
        <v>29</v>
      </c>
      <c r="BP7" s="1173" t="s">
        <v>37</v>
      </c>
      <c r="BQ7" s="1173"/>
      <c r="BR7" s="1175"/>
      <c r="BS7" s="1172" t="s">
        <v>38</v>
      </c>
      <c r="BT7" s="1173"/>
      <c r="BU7" s="1174"/>
      <c r="BV7" s="37" t="s">
        <v>32</v>
      </c>
      <c r="BW7" s="38" t="s">
        <v>39</v>
      </c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 t="s">
        <v>41</v>
      </c>
      <c r="CJ7" s="38" t="s">
        <v>42</v>
      </c>
      <c r="CK7" s="38" t="s">
        <v>43</v>
      </c>
      <c r="CL7" s="38" t="s">
        <v>44</v>
      </c>
      <c r="CM7" s="38" t="s">
        <v>45</v>
      </c>
      <c r="CN7" s="41"/>
    </row>
    <row r="8" spans="1:92" ht="26.25" thickBot="1">
      <c r="A8" s="1165"/>
      <c r="B8" s="1162"/>
      <c r="C8" s="1157"/>
      <c r="D8" s="42" t="s">
        <v>47</v>
      </c>
      <c r="E8" s="43" t="s">
        <v>48</v>
      </c>
      <c r="F8" s="43" t="s">
        <v>49</v>
      </c>
      <c r="G8" s="43" t="s">
        <v>50</v>
      </c>
      <c r="H8" s="43" t="s">
        <v>51</v>
      </c>
      <c r="I8" s="43" t="s">
        <v>51</v>
      </c>
      <c r="J8" s="371" t="s">
        <v>51</v>
      </c>
      <c r="K8" s="371" t="s">
        <v>105</v>
      </c>
      <c r="L8" s="44" t="s">
        <v>51</v>
      </c>
      <c r="M8" s="259" t="s">
        <v>78</v>
      </c>
      <c r="N8" s="260" t="s">
        <v>79</v>
      </c>
      <c r="O8" s="45" t="s">
        <v>52</v>
      </c>
      <c r="P8" s="45" t="s">
        <v>1</v>
      </c>
      <c r="Q8" s="46" t="s">
        <v>53</v>
      </c>
      <c r="R8" s="46" t="s">
        <v>47</v>
      </c>
      <c r="S8" s="273" t="s">
        <v>74</v>
      </c>
      <c r="T8" s="47" t="s">
        <v>75</v>
      </c>
      <c r="U8" s="47" t="s">
        <v>52</v>
      </c>
      <c r="V8" s="48" t="s">
        <v>47</v>
      </c>
      <c r="W8" s="49" t="s">
        <v>48</v>
      </c>
      <c r="X8" s="49" t="s">
        <v>49</v>
      </c>
      <c r="Y8" s="49" t="s">
        <v>51</v>
      </c>
      <c r="Z8" s="49" t="s">
        <v>51</v>
      </c>
      <c r="AA8" s="55" t="s">
        <v>51</v>
      </c>
      <c r="AB8" s="55" t="s">
        <v>105</v>
      </c>
      <c r="AC8" s="50" t="s">
        <v>51</v>
      </c>
      <c r="AD8" s="51" t="s">
        <v>47</v>
      </c>
      <c r="AE8" s="51" t="s">
        <v>54</v>
      </c>
      <c r="AF8" s="51" t="s">
        <v>47</v>
      </c>
      <c r="AG8" s="49" t="s">
        <v>47</v>
      </c>
      <c r="AH8" s="52" t="s">
        <v>55</v>
      </c>
      <c r="AI8" s="49" t="s">
        <v>47</v>
      </c>
      <c r="AJ8" s="53" t="s">
        <v>47</v>
      </c>
      <c r="AK8" s="48"/>
      <c r="AL8" s="49" t="s">
        <v>56</v>
      </c>
      <c r="AM8" s="49"/>
      <c r="AN8" s="49" t="s">
        <v>57</v>
      </c>
      <c r="AO8" s="49"/>
      <c r="AP8" s="49"/>
      <c r="AQ8" s="49" t="s">
        <v>6</v>
      </c>
      <c r="AR8" s="49" t="s">
        <v>57</v>
      </c>
      <c r="AS8" s="49" t="s">
        <v>52</v>
      </c>
      <c r="AT8" s="54" t="s">
        <v>58</v>
      </c>
      <c r="AU8" s="54" t="s">
        <v>59</v>
      </c>
      <c r="AV8" s="54" t="s">
        <v>60</v>
      </c>
      <c r="AW8" s="54" t="s">
        <v>100</v>
      </c>
      <c r="AX8" s="49" t="s">
        <v>47</v>
      </c>
      <c r="AY8" s="49" t="s">
        <v>47</v>
      </c>
      <c r="AZ8" s="49" t="s">
        <v>47</v>
      </c>
      <c r="BA8" s="49" t="s">
        <v>61</v>
      </c>
      <c r="BB8" s="49" t="s">
        <v>61</v>
      </c>
      <c r="BC8" s="55"/>
      <c r="BD8" s="37" t="s">
        <v>74</v>
      </c>
      <c r="BE8" s="37" t="s">
        <v>75</v>
      </c>
      <c r="BF8" s="37" t="s">
        <v>76</v>
      </c>
      <c r="BG8" s="56" t="s">
        <v>47</v>
      </c>
      <c r="BH8" s="57" t="s">
        <v>48</v>
      </c>
      <c r="BI8" s="57" t="s">
        <v>49</v>
      </c>
      <c r="BJ8" s="57" t="s">
        <v>51</v>
      </c>
      <c r="BK8" s="57" t="s">
        <v>51</v>
      </c>
      <c r="BL8" s="38" t="s">
        <v>51</v>
      </c>
      <c r="BM8" s="38" t="s">
        <v>105</v>
      </c>
      <c r="BN8" s="58" t="s">
        <v>51</v>
      </c>
      <c r="BO8" s="59" t="s">
        <v>47</v>
      </c>
      <c r="BP8" s="59" t="s">
        <v>54</v>
      </c>
      <c r="BQ8" s="59" t="s">
        <v>47</v>
      </c>
      <c r="BR8" s="57" t="s">
        <v>47</v>
      </c>
      <c r="BS8" s="60" t="s">
        <v>55</v>
      </c>
      <c r="BT8" s="57" t="s">
        <v>47</v>
      </c>
      <c r="BU8" s="61" t="s">
        <v>47</v>
      </c>
      <c r="BV8" s="56" t="s">
        <v>50</v>
      </c>
      <c r="BW8" s="57" t="s">
        <v>56</v>
      </c>
      <c r="BX8" s="57"/>
      <c r="BY8" s="57" t="s">
        <v>57</v>
      </c>
      <c r="BZ8" s="57"/>
      <c r="CA8" s="57"/>
      <c r="CB8" s="57" t="s">
        <v>6</v>
      </c>
      <c r="CC8" s="57" t="s">
        <v>57</v>
      </c>
      <c r="CD8" s="62" t="s">
        <v>52</v>
      </c>
      <c r="CE8" s="62" t="s">
        <v>58</v>
      </c>
      <c r="CF8" s="62" t="s">
        <v>59</v>
      </c>
      <c r="CG8" s="62" t="s">
        <v>62</v>
      </c>
      <c r="CH8" s="62" t="s">
        <v>100</v>
      </c>
      <c r="CI8" s="57" t="s">
        <v>47</v>
      </c>
      <c r="CJ8" s="57" t="s">
        <v>47</v>
      </c>
      <c r="CK8" s="57" t="s">
        <v>47</v>
      </c>
      <c r="CL8" s="57" t="s">
        <v>61</v>
      </c>
      <c r="CM8" s="57" t="s">
        <v>61</v>
      </c>
      <c r="CN8" s="41"/>
    </row>
    <row r="9" spans="1:92" ht="34.5" customHeight="1">
      <c r="A9" s="141">
        <v>41165</v>
      </c>
      <c r="B9" s="397">
        <v>0.625</v>
      </c>
      <c r="C9" s="405"/>
      <c r="D9" s="65"/>
      <c r="E9" s="66"/>
      <c r="F9" s="66"/>
      <c r="G9" s="66"/>
      <c r="H9" s="66"/>
      <c r="I9" s="66"/>
      <c r="J9" s="86"/>
      <c r="K9" s="86"/>
      <c r="L9" s="63"/>
      <c r="M9" s="86">
        <v>0</v>
      </c>
      <c r="N9" s="66">
        <v>0</v>
      </c>
      <c r="O9" s="261">
        <v>0</v>
      </c>
      <c r="P9" s="424"/>
      <c r="Q9" s="424"/>
      <c r="R9" s="424"/>
      <c r="S9" s="86"/>
      <c r="T9" s="86"/>
      <c r="U9" s="86"/>
      <c r="V9" s="65"/>
      <c r="W9" s="66"/>
      <c r="X9" s="66"/>
      <c r="Y9" s="66"/>
      <c r="Z9" s="66"/>
      <c r="AA9" s="86"/>
      <c r="AB9" s="86"/>
      <c r="AC9" s="63"/>
      <c r="AD9" s="87"/>
      <c r="AE9" s="87"/>
      <c r="AF9" s="87"/>
      <c r="AG9" s="66"/>
      <c r="AH9" s="142"/>
      <c r="AI9" s="87"/>
      <c r="AJ9" s="63"/>
      <c r="AK9" s="65"/>
      <c r="AL9" s="66"/>
      <c r="AM9" s="66"/>
      <c r="AN9" s="66"/>
      <c r="AO9" s="66"/>
      <c r="AP9" s="66">
        <v>0</v>
      </c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90" t="s">
        <v>77</v>
      </c>
      <c r="BD9" s="91"/>
      <c r="BE9" s="147"/>
      <c r="BF9" s="292"/>
      <c r="BG9" s="65"/>
      <c r="BH9" s="66"/>
      <c r="BI9" s="66"/>
      <c r="BJ9" s="66"/>
      <c r="BK9" s="66"/>
      <c r="BL9" s="86"/>
      <c r="BM9" s="86"/>
      <c r="BN9" s="63"/>
      <c r="BO9" s="87"/>
      <c r="BP9" s="87"/>
      <c r="BQ9" s="87"/>
      <c r="BR9" s="66"/>
      <c r="BS9" s="64"/>
      <c r="BT9" s="66"/>
      <c r="BU9" s="67"/>
      <c r="BV9" s="65"/>
      <c r="BW9" s="66"/>
      <c r="BX9" s="66"/>
      <c r="BY9" s="66"/>
      <c r="BZ9" s="66"/>
      <c r="CA9" s="66">
        <v>2</v>
      </c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8"/>
    </row>
    <row r="10" spans="1:92" ht="34.5" customHeight="1">
      <c r="A10" s="141">
        <f>A9+1</f>
        <v>41166</v>
      </c>
      <c r="B10" s="397">
        <v>0.625</v>
      </c>
      <c r="C10" s="396">
        <f t="shared" ref="C10:C17" si="0">((A10-A9)+(B10-B9))*24</f>
        <v>24</v>
      </c>
      <c r="D10" s="65"/>
      <c r="E10" s="66"/>
      <c r="F10" s="66"/>
      <c r="G10" s="66"/>
      <c r="H10" s="66"/>
      <c r="I10" s="66"/>
      <c r="J10" s="86"/>
      <c r="K10" s="86"/>
      <c r="L10" s="63"/>
      <c r="M10" s="86"/>
      <c r="N10" s="66"/>
      <c r="O10" s="261"/>
      <c r="P10" s="424"/>
      <c r="Q10" s="424"/>
      <c r="R10" s="424"/>
      <c r="S10" s="86"/>
      <c r="T10" s="86"/>
      <c r="U10" s="86"/>
      <c r="V10" s="65"/>
      <c r="W10" s="66"/>
      <c r="X10" s="66"/>
      <c r="Y10" s="66"/>
      <c r="Z10" s="66"/>
      <c r="AA10" s="86"/>
      <c r="AB10" s="86"/>
      <c r="AC10" s="63"/>
      <c r="AD10" s="87"/>
      <c r="AE10" s="87"/>
      <c r="AF10" s="87"/>
      <c r="AG10" s="66"/>
      <c r="AH10" s="66"/>
      <c r="AI10" s="87"/>
      <c r="AJ10" s="63"/>
      <c r="AK10" s="65"/>
      <c r="AL10" s="66">
        <v>30.59</v>
      </c>
      <c r="AM10" s="66">
        <v>0</v>
      </c>
      <c r="AN10" s="66">
        <v>0</v>
      </c>
      <c r="AO10" s="66"/>
      <c r="AP10" s="66">
        <v>0</v>
      </c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90"/>
      <c r="BD10" s="91"/>
      <c r="BE10" s="147"/>
      <c r="BF10" s="292"/>
      <c r="BG10" s="65"/>
      <c r="BH10" s="66"/>
      <c r="BI10" s="66"/>
      <c r="BJ10" s="66"/>
      <c r="BK10" s="66"/>
      <c r="BL10" s="86"/>
      <c r="BM10" s="86"/>
      <c r="BN10" s="63"/>
      <c r="BO10" s="87"/>
      <c r="BP10" s="87"/>
      <c r="BQ10" s="87"/>
      <c r="BR10" s="66"/>
      <c r="BS10" s="64"/>
      <c r="BT10" s="66"/>
      <c r="BU10" s="67"/>
      <c r="BV10" s="65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306"/>
    </row>
    <row r="11" spans="1:92" ht="34.5" customHeight="1">
      <c r="A11" s="141">
        <f>A10+1</f>
        <v>41167</v>
      </c>
      <c r="B11" s="397">
        <v>0.625</v>
      </c>
      <c r="C11" s="396">
        <f t="shared" si="0"/>
        <v>24</v>
      </c>
      <c r="D11" s="65"/>
      <c r="E11" s="66"/>
      <c r="F11" s="66"/>
      <c r="G11" s="66"/>
      <c r="H11" s="66"/>
      <c r="I11" s="66"/>
      <c r="J11" s="86"/>
      <c r="K11" s="86"/>
      <c r="L11" s="63"/>
      <c r="M11" s="86"/>
      <c r="N11" s="66"/>
      <c r="O11" s="261"/>
      <c r="P11" s="424"/>
      <c r="Q11" s="424"/>
      <c r="R11" s="424"/>
      <c r="S11" s="86"/>
      <c r="T11" s="86"/>
      <c r="U11" s="86"/>
      <c r="V11" s="65"/>
      <c r="W11" s="66"/>
      <c r="X11" s="66"/>
      <c r="Y11" s="66"/>
      <c r="Z11" s="66"/>
      <c r="AA11" s="86"/>
      <c r="AB11" s="86"/>
      <c r="AC11" s="63"/>
      <c r="AD11" s="87"/>
      <c r="AE11" s="87"/>
      <c r="AF11" s="87"/>
      <c r="AG11" s="66"/>
      <c r="AH11" s="66"/>
      <c r="AI11" s="87"/>
      <c r="AJ11" s="63"/>
      <c r="AK11" s="65"/>
      <c r="AL11" s="66">
        <v>33.89</v>
      </c>
      <c r="AM11" s="66">
        <v>0</v>
      </c>
      <c r="AN11" s="66">
        <v>0</v>
      </c>
      <c r="AO11" s="66"/>
      <c r="AP11" s="66">
        <v>9</v>
      </c>
      <c r="AQ11" s="72">
        <f t="shared" ref="AQ11:AQ17" si="1">(AP11-AP$9)*AP$2</f>
        <v>604.94062500000007</v>
      </c>
      <c r="AR11" s="72">
        <f t="shared" ref="AR11:AR17" si="2">(AQ11-AQ10)/(C11/24)</f>
        <v>604.94062500000007</v>
      </c>
      <c r="AS11" s="143">
        <f t="shared" ref="AS11:AS17" si="3">(AQ11-AQ10)/C11</f>
        <v>25.205859375000003</v>
      </c>
      <c r="AT11" s="66"/>
      <c r="AU11" s="66"/>
      <c r="AV11" s="66"/>
      <c r="AW11" s="66"/>
      <c r="AX11" s="66"/>
      <c r="AY11" s="66"/>
      <c r="AZ11" s="66"/>
      <c r="BA11" s="66"/>
      <c r="BB11" s="66"/>
      <c r="BC11" s="90"/>
      <c r="BD11" s="91"/>
      <c r="BE11" s="147"/>
      <c r="BF11" s="292"/>
      <c r="BG11" s="65"/>
      <c r="BH11" s="66"/>
      <c r="BI11" s="66"/>
      <c r="BJ11" s="66"/>
      <c r="BK11" s="66"/>
      <c r="BL11" s="86"/>
      <c r="BM11" s="86"/>
      <c r="BN11" s="63"/>
      <c r="BO11" s="87"/>
      <c r="BP11" s="87"/>
      <c r="BQ11" s="87"/>
      <c r="BR11" s="66"/>
      <c r="BS11" s="64"/>
      <c r="BT11" s="66"/>
      <c r="BU11" s="67"/>
      <c r="BV11" s="65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306"/>
    </row>
    <row r="12" spans="1:92" ht="34.5" customHeight="1">
      <c r="A12" s="141">
        <f>A11+1</f>
        <v>41168</v>
      </c>
      <c r="B12" s="397">
        <v>0.625</v>
      </c>
      <c r="C12" s="396">
        <f t="shared" si="0"/>
        <v>24</v>
      </c>
      <c r="D12" s="65"/>
      <c r="E12" s="66"/>
      <c r="F12" s="66"/>
      <c r="G12" s="66"/>
      <c r="H12" s="66"/>
      <c r="I12" s="66"/>
      <c r="J12" s="86"/>
      <c r="K12" s="86"/>
      <c r="L12" s="63"/>
      <c r="M12" s="86"/>
      <c r="N12" s="66"/>
      <c r="O12" s="261"/>
      <c r="P12" s="424"/>
      <c r="Q12" s="424"/>
      <c r="R12" s="424"/>
      <c r="S12" s="86"/>
      <c r="T12" s="86"/>
      <c r="U12" s="86"/>
      <c r="V12" s="65"/>
      <c r="W12" s="66"/>
      <c r="X12" s="66"/>
      <c r="Y12" s="66"/>
      <c r="Z12" s="66"/>
      <c r="AA12" s="86"/>
      <c r="AB12" s="86"/>
      <c r="AC12" s="63"/>
      <c r="AD12" s="87"/>
      <c r="AE12" s="87"/>
      <c r="AF12" s="87"/>
      <c r="AG12" s="66"/>
      <c r="AH12" s="66"/>
      <c r="AI12" s="87"/>
      <c r="AJ12" s="63"/>
      <c r="AK12" s="65"/>
      <c r="AL12" s="66">
        <v>33.9</v>
      </c>
      <c r="AM12" s="66">
        <v>0</v>
      </c>
      <c r="AN12" s="66">
        <v>0</v>
      </c>
      <c r="AO12" s="66"/>
      <c r="AP12" s="66">
        <v>14</v>
      </c>
      <c r="AQ12" s="72">
        <f t="shared" si="1"/>
        <v>941.01875000000007</v>
      </c>
      <c r="AR12" s="72">
        <f t="shared" si="2"/>
        <v>336.078125</v>
      </c>
      <c r="AS12" s="143">
        <f t="shared" si="3"/>
        <v>14.003255208333334</v>
      </c>
      <c r="AT12" s="66"/>
      <c r="AU12" s="66"/>
      <c r="AV12" s="66"/>
      <c r="AW12" s="66"/>
      <c r="AX12" s="66"/>
      <c r="AY12" s="66"/>
      <c r="AZ12" s="66"/>
      <c r="BA12" s="66"/>
      <c r="BB12" s="66"/>
      <c r="BC12" s="90"/>
      <c r="BD12" s="91"/>
      <c r="BE12" s="147"/>
      <c r="BF12" s="292"/>
      <c r="BG12" s="65"/>
      <c r="BH12" s="66"/>
      <c r="BI12" s="66"/>
      <c r="BJ12" s="66"/>
      <c r="BK12" s="66"/>
      <c r="BL12" s="86"/>
      <c r="BM12" s="86"/>
      <c r="BN12" s="63"/>
      <c r="BO12" s="87"/>
      <c r="BP12" s="87"/>
      <c r="BQ12" s="87"/>
      <c r="BR12" s="66"/>
      <c r="BS12" s="64"/>
      <c r="BT12" s="66"/>
      <c r="BU12" s="67"/>
      <c r="BV12" s="65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306"/>
    </row>
    <row r="13" spans="1:92" s="337" customFormat="1" ht="28.5">
      <c r="A13" s="309">
        <f>A9+4</f>
        <v>41169</v>
      </c>
      <c r="B13" s="398">
        <v>0.33333333333333331</v>
      </c>
      <c r="C13" s="406">
        <f t="shared" si="0"/>
        <v>17</v>
      </c>
      <c r="D13" s="379">
        <v>2.41</v>
      </c>
      <c r="E13" s="380">
        <v>71.430000000000007</v>
      </c>
      <c r="F13" s="313"/>
      <c r="G13" s="312"/>
      <c r="H13" s="313"/>
      <c r="I13" s="313"/>
      <c r="J13" s="315"/>
      <c r="K13" s="315"/>
      <c r="L13" s="314"/>
      <c r="M13" s="315">
        <v>62</v>
      </c>
      <c r="N13" s="313">
        <v>70</v>
      </c>
      <c r="O13" s="316">
        <v>0</v>
      </c>
      <c r="P13" s="425"/>
      <c r="Q13" s="424"/>
      <c r="R13" s="425"/>
      <c r="S13" s="317"/>
      <c r="T13" s="317"/>
      <c r="U13" s="317"/>
      <c r="V13" s="318"/>
      <c r="W13" s="319"/>
      <c r="X13" s="319"/>
      <c r="Y13" s="319"/>
      <c r="Z13" s="319"/>
      <c r="AA13" s="317"/>
      <c r="AB13" s="317"/>
      <c r="AC13" s="320"/>
      <c r="AD13" s="321"/>
      <c r="AE13" s="322"/>
      <c r="AF13" s="323"/>
      <c r="AG13" s="324"/>
      <c r="AH13" s="325"/>
      <c r="AI13" s="322"/>
      <c r="AJ13" s="326"/>
      <c r="AK13" s="318">
        <v>5.63</v>
      </c>
      <c r="AL13" s="319">
        <v>33.9</v>
      </c>
      <c r="AM13" s="319">
        <v>0</v>
      </c>
      <c r="AN13" s="319">
        <v>0</v>
      </c>
      <c r="AO13" s="319"/>
      <c r="AP13" s="319">
        <v>21</v>
      </c>
      <c r="AQ13" s="313">
        <f t="shared" si="1"/>
        <v>1411.528125</v>
      </c>
      <c r="AR13" s="313">
        <f t="shared" si="2"/>
        <v>664.24852941176459</v>
      </c>
      <c r="AS13" s="328">
        <f t="shared" si="3"/>
        <v>27.677022058823528</v>
      </c>
      <c r="AT13" s="319"/>
      <c r="AU13" s="319"/>
      <c r="AV13" s="319"/>
      <c r="AW13" s="319"/>
      <c r="AX13" s="319">
        <v>32.6</v>
      </c>
      <c r="AY13" s="319">
        <v>47.8</v>
      </c>
      <c r="AZ13" s="319">
        <v>0.8</v>
      </c>
      <c r="BA13" s="319">
        <v>27</v>
      </c>
      <c r="BB13" s="313">
        <v>990</v>
      </c>
      <c r="BC13" s="338"/>
      <c r="BD13" s="329">
        <v>0</v>
      </c>
      <c r="BE13" s="330">
        <v>0</v>
      </c>
      <c r="BF13" s="316">
        <f>(BE9-BD13)*BC$2/$C13</f>
        <v>0</v>
      </c>
      <c r="BG13" s="340"/>
      <c r="BH13" s="341"/>
      <c r="BI13" s="333"/>
      <c r="BJ13" s="341"/>
      <c r="BK13" s="333"/>
      <c r="BL13" s="315"/>
      <c r="BM13" s="315"/>
      <c r="BN13" s="342"/>
      <c r="BO13" s="321"/>
      <c r="BP13" s="322"/>
      <c r="BQ13" s="323"/>
      <c r="BR13" s="324"/>
      <c r="BS13" s="331"/>
      <c r="BT13" s="325"/>
      <c r="BU13" s="343"/>
      <c r="BV13" s="340">
        <v>6.13</v>
      </c>
      <c r="BW13" s="341">
        <v>35.200000000000003</v>
      </c>
      <c r="BX13" s="341">
        <v>61</v>
      </c>
      <c r="BY13" s="324">
        <v>0</v>
      </c>
      <c r="BZ13" s="324"/>
      <c r="CA13" s="344">
        <v>2</v>
      </c>
      <c r="CB13" s="333">
        <f>(CA13-CA$9)*CA$2</f>
        <v>0</v>
      </c>
      <c r="CC13" s="333">
        <f>(CB13-CB9)/((C13/24))</f>
        <v>0</v>
      </c>
      <c r="CD13" s="334">
        <f>CC13/C13</f>
        <v>0</v>
      </c>
      <c r="CE13" s="334"/>
      <c r="CF13" s="334"/>
      <c r="CG13" s="334"/>
      <c r="CH13" s="319"/>
      <c r="CI13" s="319">
        <v>2.8</v>
      </c>
      <c r="CJ13" s="319">
        <v>13.3</v>
      </c>
      <c r="CK13" s="319">
        <v>13.3</v>
      </c>
      <c r="CL13" s="319">
        <v>134</v>
      </c>
      <c r="CM13" s="313">
        <v>325</v>
      </c>
      <c r="CN13" s="338" t="s">
        <v>77</v>
      </c>
    </row>
    <row r="14" spans="1:92" s="69" customFormat="1">
      <c r="A14" s="141">
        <f>A13+1</f>
        <v>41170</v>
      </c>
      <c r="B14" s="397">
        <v>0.39930555555555558</v>
      </c>
      <c r="C14" s="396">
        <f t="shared" si="0"/>
        <v>25.583333333333336</v>
      </c>
      <c r="D14" s="70"/>
      <c r="E14" s="71"/>
      <c r="F14" s="72"/>
      <c r="G14" s="71"/>
      <c r="H14" s="72"/>
      <c r="I14" s="72"/>
      <c r="J14" s="256"/>
      <c r="K14" s="256"/>
      <c r="L14" s="73"/>
      <c r="M14" s="256">
        <v>70</v>
      </c>
      <c r="N14" s="72">
        <v>70</v>
      </c>
      <c r="O14" s="261">
        <f>(N13-M14)*N$4/$C14</f>
        <v>0</v>
      </c>
      <c r="P14" s="425"/>
      <c r="Q14" s="424"/>
      <c r="R14" s="425"/>
      <c r="S14" s="86"/>
      <c r="T14" s="86"/>
      <c r="U14" s="86"/>
      <c r="V14" s="65"/>
      <c r="W14" s="66"/>
      <c r="X14" s="66"/>
      <c r="Y14" s="66"/>
      <c r="Z14" s="66"/>
      <c r="AA14" s="86"/>
      <c r="AB14" s="86"/>
      <c r="AC14" s="63"/>
      <c r="AD14" s="277"/>
      <c r="AE14" s="278"/>
      <c r="AF14" s="279"/>
      <c r="AG14" s="280"/>
      <c r="AH14" s="281"/>
      <c r="AI14" s="278"/>
      <c r="AJ14" s="282"/>
      <c r="AK14" s="65">
        <v>5.74</v>
      </c>
      <c r="AL14" s="66">
        <v>35.4</v>
      </c>
      <c r="AM14" s="66">
        <v>0</v>
      </c>
      <c r="AN14" s="66">
        <v>0</v>
      </c>
      <c r="AO14" s="66"/>
      <c r="AP14" s="66">
        <v>25</v>
      </c>
      <c r="AQ14" s="72">
        <f t="shared" si="1"/>
        <v>1680.390625</v>
      </c>
      <c r="AR14" s="72">
        <f t="shared" si="2"/>
        <v>252.22280130293154</v>
      </c>
      <c r="AS14" s="143">
        <f t="shared" si="3"/>
        <v>10.509283387622148</v>
      </c>
      <c r="AT14" s="66"/>
      <c r="AU14" s="66"/>
      <c r="AV14" s="66"/>
      <c r="AW14" s="66"/>
      <c r="AX14" s="66">
        <v>28.6</v>
      </c>
      <c r="AY14" s="66">
        <v>37.5</v>
      </c>
      <c r="AZ14" s="66">
        <v>0.1</v>
      </c>
      <c r="BA14" s="66">
        <v>35</v>
      </c>
      <c r="BB14" s="72">
        <v>1155</v>
      </c>
      <c r="BC14" s="90"/>
      <c r="BD14" s="91">
        <v>0</v>
      </c>
      <c r="BE14" s="147">
        <v>0</v>
      </c>
      <c r="BF14" s="261">
        <v>0</v>
      </c>
      <c r="BG14" s="283"/>
      <c r="BH14" s="284"/>
      <c r="BI14" s="288"/>
      <c r="BJ14" s="284"/>
      <c r="BK14" s="288"/>
      <c r="BL14" s="256"/>
      <c r="BM14" s="256"/>
      <c r="BN14" s="286"/>
      <c r="BO14" s="277"/>
      <c r="BP14" s="278"/>
      <c r="BQ14" s="279"/>
      <c r="BR14" s="280"/>
      <c r="BS14" s="287"/>
      <c r="BT14" s="281"/>
      <c r="BU14" s="290"/>
      <c r="BV14" s="283">
        <v>5.34</v>
      </c>
      <c r="BW14" s="284">
        <v>48.4</v>
      </c>
      <c r="BX14" s="284">
        <v>61</v>
      </c>
      <c r="BY14" s="280">
        <v>0</v>
      </c>
      <c r="BZ14" s="280"/>
      <c r="CA14" s="288">
        <v>5</v>
      </c>
      <c r="CB14" s="285">
        <f>(CA14-CA$9)*CA$2</f>
        <v>204.59062500000002</v>
      </c>
      <c r="CC14" s="285">
        <f>(CB14-CB13)/((C14/24))</f>
        <v>191.92866449511399</v>
      </c>
      <c r="CD14" s="289">
        <f>(CB14-CB13)/(C14)</f>
        <v>7.9970276872964172</v>
      </c>
      <c r="CE14" s="289"/>
      <c r="CF14" s="289"/>
      <c r="CG14" s="294"/>
      <c r="CH14" s="66"/>
      <c r="CI14" s="66">
        <v>8.9</v>
      </c>
      <c r="CJ14" s="66">
        <v>38.700000000000003</v>
      </c>
      <c r="CK14" s="66">
        <v>6.8</v>
      </c>
      <c r="CL14" s="66">
        <v>194</v>
      </c>
      <c r="CM14" s="72">
        <v>740</v>
      </c>
      <c r="CN14" s="68"/>
    </row>
    <row r="15" spans="1:92" s="69" customFormat="1">
      <c r="A15" s="141">
        <f>A14+1</f>
        <v>41171</v>
      </c>
      <c r="B15" s="397">
        <v>0.60763888888888895</v>
      </c>
      <c r="C15" s="396">
        <f t="shared" si="0"/>
        <v>29.000000000000004</v>
      </c>
      <c r="D15" s="70"/>
      <c r="E15" s="71"/>
      <c r="F15" s="72"/>
      <c r="G15" s="71"/>
      <c r="H15" s="72"/>
      <c r="I15" s="72"/>
      <c r="J15" s="256"/>
      <c r="K15" s="256"/>
      <c r="L15" s="73"/>
      <c r="M15" s="256">
        <v>66</v>
      </c>
      <c r="N15" s="72">
        <v>86</v>
      </c>
      <c r="O15" s="261">
        <f>(N14-M15)*N$4/$C15</f>
        <v>0.69296551724137923</v>
      </c>
      <c r="P15" s="425"/>
      <c r="Q15" s="424"/>
      <c r="R15" s="425"/>
      <c r="S15" s="86"/>
      <c r="T15" s="86"/>
      <c r="U15" s="86"/>
      <c r="V15" s="65"/>
      <c r="W15" s="66"/>
      <c r="X15" s="66"/>
      <c r="Y15" s="66"/>
      <c r="Z15" s="66"/>
      <c r="AA15" s="86"/>
      <c r="AB15" s="86"/>
      <c r="AC15" s="63"/>
      <c r="AD15" s="277"/>
      <c r="AE15" s="278"/>
      <c r="AF15" s="279"/>
      <c r="AG15" s="280"/>
      <c r="AH15" s="281"/>
      <c r="AI15" s="278"/>
      <c r="AJ15" s="282"/>
      <c r="AK15" s="65">
        <v>5.78</v>
      </c>
      <c r="AL15" s="66">
        <v>35.4</v>
      </c>
      <c r="AM15" s="66">
        <v>5</v>
      </c>
      <c r="AN15" s="66">
        <v>0</v>
      </c>
      <c r="AO15" s="66"/>
      <c r="AP15" s="66">
        <v>31</v>
      </c>
      <c r="AQ15" s="72">
        <f t="shared" si="1"/>
        <v>2083.6843750000003</v>
      </c>
      <c r="AR15" s="72">
        <f t="shared" si="2"/>
        <v>333.76034482758638</v>
      </c>
      <c r="AS15" s="143">
        <f t="shared" si="3"/>
        <v>13.906681034482766</v>
      </c>
      <c r="AT15" s="66"/>
      <c r="AU15" s="66"/>
      <c r="AV15" s="66"/>
      <c r="AW15" s="66"/>
      <c r="AX15" s="66">
        <v>43.4</v>
      </c>
      <c r="AY15" s="66">
        <v>48.8</v>
      </c>
      <c r="AZ15" s="66">
        <v>0</v>
      </c>
      <c r="BA15" s="66">
        <v>71</v>
      </c>
      <c r="BB15" s="72">
        <v>1345</v>
      </c>
      <c r="BC15" s="90"/>
      <c r="BD15" s="91">
        <v>0</v>
      </c>
      <c r="BE15" s="147">
        <v>0</v>
      </c>
      <c r="BF15" s="261">
        <v>0</v>
      </c>
      <c r="BG15" s="283"/>
      <c r="BH15" s="284"/>
      <c r="BI15" s="288"/>
      <c r="BJ15" s="284"/>
      <c r="BK15" s="288"/>
      <c r="BL15" s="256"/>
      <c r="BM15" s="256"/>
      <c r="BN15" s="286"/>
      <c r="BO15" s="277"/>
      <c r="BP15" s="278"/>
      <c r="BQ15" s="279"/>
      <c r="BR15" s="280"/>
      <c r="BS15" s="287"/>
      <c r="BT15" s="281"/>
      <c r="BU15" s="290"/>
      <c r="BV15" s="283">
        <v>5.74</v>
      </c>
      <c r="BW15" s="284">
        <v>48.6</v>
      </c>
      <c r="BX15" s="284">
        <v>61</v>
      </c>
      <c r="BY15" s="280">
        <v>0</v>
      </c>
      <c r="BZ15" s="280"/>
      <c r="CA15" s="288">
        <v>7</v>
      </c>
      <c r="CB15" s="285">
        <f>(CA15-CA$9)*CA$2</f>
        <v>340.984375</v>
      </c>
      <c r="CC15" s="285">
        <f>(CB15-CB14)/((C15/24))</f>
        <v>112.87758620689652</v>
      </c>
      <c r="CD15" s="289">
        <f>(CB15-CB14)/(C15)</f>
        <v>4.7032327586206888</v>
      </c>
      <c r="CE15" s="289"/>
      <c r="CF15" s="289"/>
      <c r="CG15" s="294"/>
      <c r="CH15" s="66"/>
      <c r="CI15" s="66">
        <v>14.8</v>
      </c>
      <c r="CJ15" s="66">
        <v>44.8</v>
      </c>
      <c r="CK15" s="66">
        <v>37</v>
      </c>
      <c r="CL15" s="66">
        <v>608</v>
      </c>
      <c r="CM15" s="72">
        <v>1215</v>
      </c>
      <c r="CN15" s="68"/>
    </row>
    <row r="16" spans="1:92">
      <c r="A16" s="141">
        <f>A15+1</f>
        <v>41172</v>
      </c>
      <c r="B16" s="397">
        <v>0.31597222222222221</v>
      </c>
      <c r="C16" s="396">
        <f t="shared" si="0"/>
        <v>17</v>
      </c>
      <c r="D16" s="70"/>
      <c r="E16" s="71"/>
      <c r="F16" s="72"/>
      <c r="G16" s="71"/>
      <c r="H16" s="72"/>
      <c r="I16" s="72"/>
      <c r="J16" s="256"/>
      <c r="K16" s="256"/>
      <c r="L16" s="73"/>
      <c r="M16" s="256">
        <v>77</v>
      </c>
      <c r="N16" s="72">
        <v>77</v>
      </c>
      <c r="O16" s="261">
        <f>(N15-M16)*N$4/$C16</f>
        <v>2.659764705882353</v>
      </c>
      <c r="P16" s="425"/>
      <c r="Q16" s="424"/>
      <c r="R16" s="425"/>
      <c r="S16" s="86"/>
      <c r="T16" s="86"/>
      <c r="U16" s="86"/>
      <c r="V16" s="65"/>
      <c r="W16" s="66"/>
      <c r="X16" s="66"/>
      <c r="Y16" s="66"/>
      <c r="Z16" s="66"/>
      <c r="AA16" s="86"/>
      <c r="AB16" s="86"/>
      <c r="AC16" s="63"/>
      <c r="AD16" s="277"/>
      <c r="AE16" s="278"/>
      <c r="AF16" s="279"/>
      <c r="AG16" s="280"/>
      <c r="AH16" s="281"/>
      <c r="AI16" s="278"/>
      <c r="AJ16" s="282"/>
      <c r="AK16" s="65">
        <v>5.94</v>
      </c>
      <c r="AL16" s="66">
        <v>35.4</v>
      </c>
      <c r="AM16" s="66">
        <v>26</v>
      </c>
      <c r="AN16" s="89">
        <f>(AM16-AM15)*AQ1/(C16/24)</f>
        <v>64.037647058823524</v>
      </c>
      <c r="AO16" s="89">
        <f>AQ3/AN16</f>
        <v>22.065145502645503</v>
      </c>
      <c r="AP16" s="66">
        <v>37</v>
      </c>
      <c r="AQ16" s="72">
        <f t="shared" si="1"/>
        <v>2486.9781250000001</v>
      </c>
      <c r="AR16" s="72">
        <f t="shared" si="2"/>
        <v>569.35588235294085</v>
      </c>
      <c r="AS16" s="143">
        <f t="shared" si="3"/>
        <v>23.723161764705871</v>
      </c>
      <c r="AT16" s="66"/>
      <c r="AU16" s="66"/>
      <c r="AV16" s="276"/>
      <c r="AW16" s="276"/>
      <c r="AX16" s="66">
        <v>49.6</v>
      </c>
      <c r="AY16" s="66">
        <v>46.7</v>
      </c>
      <c r="AZ16" s="66">
        <v>0</v>
      </c>
      <c r="BA16" s="66">
        <v>21</v>
      </c>
      <c r="BB16" s="66">
        <v>910</v>
      </c>
      <c r="BC16" s="90"/>
      <c r="BD16" s="91">
        <v>0</v>
      </c>
      <c r="BE16" s="147">
        <v>0</v>
      </c>
      <c r="BF16" s="261">
        <f>(BE13-BD16)*BC$2/$C16</f>
        <v>0</v>
      </c>
      <c r="BG16" s="65"/>
      <c r="BH16" s="66"/>
      <c r="BI16" s="66"/>
      <c r="BJ16" s="66"/>
      <c r="BK16" s="66"/>
      <c r="BL16" s="256"/>
      <c r="BM16" s="256"/>
      <c r="BN16" s="63"/>
      <c r="BO16" s="277"/>
      <c r="BP16" s="278"/>
      <c r="BQ16" s="279"/>
      <c r="BR16" s="293"/>
      <c r="BS16" s="287"/>
      <c r="BT16" s="281"/>
      <c r="BU16" s="67"/>
      <c r="BV16" s="65">
        <v>5.9</v>
      </c>
      <c r="BW16" s="66">
        <v>50.2</v>
      </c>
      <c r="BX16" s="66">
        <v>61</v>
      </c>
      <c r="BY16" s="66">
        <v>0</v>
      </c>
      <c r="BZ16" s="66"/>
      <c r="CA16" s="66">
        <v>8</v>
      </c>
      <c r="CB16" s="285">
        <f>(CA16-CA$9)*CA$2</f>
        <v>409.18125000000003</v>
      </c>
      <c r="CC16" s="285">
        <f>(CB16-CB15)/((C16/24))</f>
        <v>96.277941176470634</v>
      </c>
      <c r="CD16" s="289">
        <f>(CB16-CB15)/(C16)</f>
        <v>4.0115808823529431</v>
      </c>
      <c r="CE16" s="289"/>
      <c r="CF16" s="289"/>
      <c r="CG16" s="300"/>
      <c r="CH16" s="276"/>
      <c r="CI16" s="66">
        <v>20.9</v>
      </c>
      <c r="CJ16" s="66">
        <v>44.3</v>
      </c>
      <c r="CK16" s="66">
        <v>2.2000000000000002</v>
      </c>
      <c r="CL16" s="66">
        <v>169</v>
      </c>
      <c r="CM16" s="66">
        <v>955</v>
      </c>
      <c r="CN16" s="68"/>
    </row>
    <row r="17" spans="1:93" s="337" customFormat="1" ht="28.5">
      <c r="A17" s="1158">
        <v>41173</v>
      </c>
      <c r="B17" s="398">
        <v>0.3576388888888889</v>
      </c>
      <c r="C17" s="406">
        <f t="shared" si="0"/>
        <v>25</v>
      </c>
      <c r="D17" s="379">
        <v>5.67</v>
      </c>
      <c r="E17" s="380">
        <v>73.87</v>
      </c>
      <c r="F17" s="313"/>
      <c r="G17" s="312"/>
      <c r="H17" s="313"/>
      <c r="I17" s="313"/>
      <c r="J17" s="315"/>
      <c r="K17" s="315"/>
      <c r="L17" s="314"/>
      <c r="M17" s="315">
        <v>65</v>
      </c>
      <c r="N17" s="313">
        <v>91</v>
      </c>
      <c r="O17" s="316">
        <f>(N16-M17)*N$4/$C17</f>
        <v>2.4115199999999999</v>
      </c>
      <c r="P17" s="425"/>
      <c r="Q17" s="424"/>
      <c r="R17" s="425"/>
      <c r="S17" s="317"/>
      <c r="T17" s="317"/>
      <c r="U17" s="317"/>
      <c r="V17" s="318"/>
      <c r="W17" s="319"/>
      <c r="X17" s="319"/>
      <c r="Y17" s="319"/>
      <c r="Z17" s="319"/>
      <c r="AA17" s="317"/>
      <c r="AB17" s="317"/>
      <c r="AC17" s="320"/>
      <c r="AD17" s="321"/>
      <c r="AE17" s="322"/>
      <c r="AF17" s="323"/>
      <c r="AG17" s="324"/>
      <c r="AH17" s="325"/>
      <c r="AI17" s="322"/>
      <c r="AJ17" s="326"/>
      <c r="AK17" s="318">
        <v>6.3</v>
      </c>
      <c r="AL17" s="319">
        <v>35.4</v>
      </c>
      <c r="AM17" s="319">
        <v>56</v>
      </c>
      <c r="AN17" s="327">
        <f>(AM17-AM16)*AQ$1/(C17/24)</f>
        <v>62.208000000000006</v>
      </c>
      <c r="AO17" s="327">
        <f>AQ$3/AN17</f>
        <v>22.714120370370367</v>
      </c>
      <c r="AP17" s="319">
        <v>46</v>
      </c>
      <c r="AQ17" s="313">
        <f t="shared" si="1"/>
        <v>3091.9187500000003</v>
      </c>
      <c r="AR17" s="313">
        <f t="shared" si="2"/>
        <v>580.74300000000017</v>
      </c>
      <c r="AS17" s="328">
        <f t="shared" si="3"/>
        <v>24.197625000000006</v>
      </c>
      <c r="AT17" s="319"/>
      <c r="AU17" s="319"/>
      <c r="AV17" s="319"/>
      <c r="AW17" s="319"/>
      <c r="AX17" s="319">
        <v>54</v>
      </c>
      <c r="AY17" s="319">
        <v>44.7</v>
      </c>
      <c r="AZ17" s="319">
        <v>0</v>
      </c>
      <c r="BA17" s="319">
        <v>2.4</v>
      </c>
      <c r="BB17" s="319">
        <v>975</v>
      </c>
      <c r="BC17" s="338" t="s">
        <v>82</v>
      </c>
      <c r="BD17" s="329">
        <v>0</v>
      </c>
      <c r="BE17" s="330">
        <v>0</v>
      </c>
      <c r="BF17" s="316">
        <v>0</v>
      </c>
      <c r="BG17" s="318"/>
      <c r="BH17" s="319"/>
      <c r="BI17" s="319"/>
      <c r="BJ17" s="319"/>
      <c r="BK17" s="319"/>
      <c r="BL17" s="315"/>
      <c r="BM17" s="315"/>
      <c r="BN17" s="320"/>
      <c r="BO17" s="321"/>
      <c r="BP17" s="322"/>
      <c r="BQ17" s="323"/>
      <c r="BR17" s="319"/>
      <c r="BS17" s="331"/>
      <c r="BT17" s="325"/>
      <c r="BU17" s="332"/>
      <c r="BV17" s="339">
        <v>6.23</v>
      </c>
      <c r="BW17" s="319">
        <v>50</v>
      </c>
      <c r="BX17" s="319">
        <v>61</v>
      </c>
      <c r="BY17" s="319">
        <v>0</v>
      </c>
      <c r="BZ17" s="319"/>
      <c r="CA17" s="319">
        <v>10</v>
      </c>
      <c r="CB17" s="333">
        <f>(CA17-CA$9)*CA$2</f>
        <v>545.57500000000005</v>
      </c>
      <c r="CC17" s="333">
        <f>(CB17-CB16)/((C17/24))</f>
        <v>130.93799999999999</v>
      </c>
      <c r="CD17" s="334">
        <f>(CB17-CB16)/(C17)</f>
        <v>5.4557500000000001</v>
      </c>
      <c r="CE17" s="334"/>
      <c r="CF17" s="334"/>
      <c r="CG17" s="335"/>
      <c r="CH17" s="319"/>
      <c r="CI17" s="319">
        <v>32.299999999999997</v>
      </c>
      <c r="CJ17" s="319">
        <v>45.7</v>
      </c>
      <c r="CK17" s="319">
        <v>0.8</v>
      </c>
      <c r="CL17" s="319">
        <v>275</v>
      </c>
      <c r="CM17" s="319">
        <v>925</v>
      </c>
      <c r="CN17" s="336"/>
    </row>
    <row r="18" spans="1:93">
      <c r="A18" s="1159"/>
      <c r="B18" s="397"/>
      <c r="C18" s="396"/>
      <c r="D18" s="381">
        <v>3.34</v>
      </c>
      <c r="E18" s="382">
        <f>((65*E13)+(26*E17))/91</f>
        <v>72.127142857142857</v>
      </c>
      <c r="F18" s="72"/>
      <c r="G18" s="71"/>
      <c r="H18" s="72"/>
      <c r="I18" s="72"/>
      <c r="J18" s="256"/>
      <c r="K18" s="256"/>
      <c r="L18" s="73"/>
      <c r="M18" s="256"/>
      <c r="N18" s="72"/>
      <c r="O18" s="261"/>
      <c r="P18" s="425"/>
      <c r="Q18" s="424"/>
      <c r="R18" s="425"/>
      <c r="S18" s="86"/>
      <c r="T18" s="86"/>
      <c r="U18" s="86"/>
      <c r="V18" s="65"/>
      <c r="W18" s="66"/>
      <c r="X18" s="66"/>
      <c r="Y18" s="66"/>
      <c r="Z18" s="66"/>
      <c r="AA18" s="86"/>
      <c r="AB18" s="86"/>
      <c r="AC18" s="63"/>
      <c r="AD18" s="277"/>
      <c r="AE18" s="278"/>
      <c r="AF18" s="279"/>
      <c r="AG18" s="280"/>
      <c r="AH18" s="281"/>
      <c r="AI18" s="278"/>
      <c r="AJ18" s="282"/>
      <c r="AK18" s="65"/>
      <c r="AL18" s="66"/>
      <c r="AM18" s="66"/>
      <c r="AN18" s="89"/>
      <c r="AO18" s="89"/>
      <c r="AP18" s="66"/>
      <c r="AQ18" s="72"/>
      <c r="AR18" s="72"/>
      <c r="AS18" s="143"/>
      <c r="AT18" s="66"/>
      <c r="AU18" s="66"/>
      <c r="AV18" s="66"/>
      <c r="AW18" s="66"/>
      <c r="AX18" s="66"/>
      <c r="AY18" s="66"/>
      <c r="AZ18" s="66"/>
      <c r="BA18" s="66"/>
      <c r="BB18" s="66"/>
      <c r="BC18" s="90"/>
      <c r="BD18" s="91"/>
      <c r="BE18" s="147"/>
      <c r="BF18" s="261"/>
      <c r="BG18" s="65"/>
      <c r="BH18" s="66"/>
      <c r="BI18" s="66"/>
      <c r="BJ18" s="66"/>
      <c r="BK18" s="66"/>
      <c r="BL18" s="256"/>
      <c r="BM18" s="256"/>
      <c r="BN18" s="63"/>
      <c r="BO18" s="277"/>
      <c r="BP18" s="278"/>
      <c r="BQ18" s="279"/>
      <c r="BR18" s="293"/>
      <c r="BS18" s="287"/>
      <c r="BT18" s="281"/>
      <c r="BU18" s="67"/>
      <c r="BV18" s="305"/>
      <c r="BW18" s="66"/>
      <c r="BX18" s="66"/>
      <c r="BY18" s="66"/>
      <c r="BZ18" s="66"/>
      <c r="CA18" s="66"/>
      <c r="CB18" s="285"/>
      <c r="CC18" s="285"/>
      <c r="CD18" s="289"/>
      <c r="CE18" s="289"/>
      <c r="CF18" s="289"/>
      <c r="CG18" s="300"/>
      <c r="CH18" s="66"/>
      <c r="CI18" s="66"/>
      <c r="CJ18" s="66"/>
      <c r="CK18" s="66"/>
      <c r="CL18" s="66"/>
      <c r="CM18" s="66"/>
      <c r="CN18" s="68"/>
    </row>
    <row r="19" spans="1:93">
      <c r="A19" s="141">
        <f>A17+1</f>
        <v>41174</v>
      </c>
      <c r="B19" s="399">
        <v>0.3576388888888889</v>
      </c>
      <c r="C19" s="407">
        <f>((A19-A17)+(B19-B17))*24</f>
        <v>24</v>
      </c>
      <c r="D19" s="381"/>
      <c r="E19" s="382"/>
      <c r="F19" s="72"/>
      <c r="G19" s="71"/>
      <c r="H19" s="72"/>
      <c r="I19" s="72"/>
      <c r="J19" s="256"/>
      <c r="K19" s="256"/>
      <c r="L19" s="73"/>
      <c r="M19" s="256"/>
      <c r="N19" s="72"/>
      <c r="O19" s="261"/>
      <c r="P19" s="425"/>
      <c r="Q19" s="425"/>
      <c r="R19" s="425"/>
      <c r="S19" s="86"/>
      <c r="T19" s="86"/>
      <c r="U19" s="86"/>
      <c r="V19" s="65"/>
      <c r="W19" s="66"/>
      <c r="X19" s="66"/>
      <c r="Y19" s="66"/>
      <c r="Z19" s="66"/>
      <c r="AA19" s="86"/>
      <c r="AB19" s="86"/>
      <c r="AC19" s="63"/>
      <c r="AD19" s="277"/>
      <c r="AE19" s="278"/>
      <c r="AF19" s="279"/>
      <c r="AG19" s="280"/>
      <c r="AH19" s="281"/>
      <c r="AI19" s="278"/>
      <c r="AJ19" s="282"/>
      <c r="AK19" s="65"/>
      <c r="AL19" s="66">
        <v>35.299999999999997</v>
      </c>
      <c r="AM19" s="66"/>
      <c r="AN19" s="66"/>
      <c r="AO19" s="66"/>
      <c r="AP19" s="66"/>
      <c r="AQ19" s="72"/>
      <c r="AR19" s="72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90"/>
      <c r="BD19" s="91"/>
      <c r="BE19" s="147"/>
      <c r="BF19" s="261"/>
      <c r="BG19" s="65"/>
      <c r="BH19" s="66"/>
      <c r="BI19" s="66"/>
      <c r="BJ19" s="66"/>
      <c r="BK19" s="66"/>
      <c r="BL19" s="256"/>
      <c r="BM19" s="256"/>
      <c r="BN19" s="63"/>
      <c r="BO19" s="277"/>
      <c r="BP19" s="278"/>
      <c r="BQ19" s="279"/>
      <c r="BR19" s="293"/>
      <c r="BS19" s="287"/>
      <c r="BT19" s="281"/>
      <c r="BU19" s="67"/>
      <c r="BV19" s="65"/>
      <c r="BW19" s="66">
        <v>49.6</v>
      </c>
      <c r="BX19" s="66"/>
      <c r="BY19" s="66"/>
      <c r="BZ19" s="66"/>
      <c r="CA19" s="66"/>
      <c r="CB19" s="285"/>
      <c r="CC19" s="285"/>
      <c r="CD19" s="289"/>
      <c r="CE19" s="289"/>
      <c r="CF19" s="289"/>
      <c r="CG19" s="300"/>
      <c r="CH19" s="66"/>
      <c r="CI19" s="66"/>
      <c r="CJ19" s="66"/>
      <c r="CK19" s="66"/>
      <c r="CL19" s="66"/>
      <c r="CM19" s="66"/>
      <c r="CN19" s="68"/>
    </row>
    <row r="20" spans="1:93">
      <c r="A20" s="141">
        <f t="shared" ref="A20:A25" si="4">A19+1</f>
        <v>41175</v>
      </c>
      <c r="B20" s="400">
        <v>0.3576388888888889</v>
      </c>
      <c r="C20" s="407">
        <f t="shared" ref="C20:C84" si="5">((A20-A19)+(B20-B19))*24</f>
        <v>24</v>
      </c>
      <c r="D20" s="381"/>
      <c r="E20" s="382"/>
      <c r="F20" s="72"/>
      <c r="G20" s="71"/>
      <c r="H20" s="72"/>
      <c r="I20" s="72"/>
      <c r="J20" s="256"/>
      <c r="K20" s="256"/>
      <c r="L20" s="73"/>
      <c r="M20" s="256"/>
      <c r="N20" s="72"/>
      <c r="O20" s="261"/>
      <c r="P20" s="425"/>
      <c r="Q20" s="425"/>
      <c r="R20" s="425"/>
      <c r="S20" s="86"/>
      <c r="T20" s="86"/>
      <c r="U20" s="86"/>
      <c r="V20" s="65"/>
      <c r="W20" s="66"/>
      <c r="X20" s="66"/>
      <c r="Y20" s="66"/>
      <c r="Z20" s="66"/>
      <c r="AA20" s="86"/>
      <c r="AB20" s="86"/>
      <c r="AC20" s="63"/>
      <c r="AD20" s="277"/>
      <c r="AE20" s="278"/>
      <c r="AF20" s="279"/>
      <c r="AG20" s="280"/>
      <c r="AH20" s="281"/>
      <c r="AI20" s="278"/>
      <c r="AJ20" s="282"/>
      <c r="AK20" s="65"/>
      <c r="AL20" s="66">
        <v>35.299999999999997</v>
      </c>
      <c r="AM20" s="66"/>
      <c r="AN20" s="66"/>
      <c r="AO20" s="66"/>
      <c r="AP20" s="66"/>
      <c r="AQ20" s="72"/>
      <c r="AR20" s="72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90"/>
      <c r="BD20" s="91"/>
      <c r="BE20" s="147"/>
      <c r="BF20" s="261"/>
      <c r="BG20" s="65"/>
      <c r="BH20" s="66"/>
      <c r="BI20" s="66"/>
      <c r="BJ20" s="66"/>
      <c r="BK20" s="66"/>
      <c r="BL20" s="256"/>
      <c r="BM20" s="256"/>
      <c r="BN20" s="63"/>
      <c r="BO20" s="277"/>
      <c r="BP20" s="278"/>
      <c r="BQ20" s="279"/>
      <c r="BR20" s="293"/>
      <c r="BS20" s="287"/>
      <c r="BT20" s="281"/>
      <c r="BU20" s="67"/>
      <c r="BV20" s="65"/>
      <c r="BW20" s="66">
        <v>49.9</v>
      </c>
      <c r="BX20" s="66"/>
      <c r="BY20" s="66"/>
      <c r="BZ20" s="66"/>
      <c r="CA20" s="66"/>
      <c r="CB20" s="285"/>
      <c r="CC20" s="285"/>
      <c r="CD20" s="289"/>
      <c r="CE20" s="289"/>
      <c r="CF20" s="289"/>
      <c r="CG20" s="300"/>
      <c r="CH20" s="66"/>
      <c r="CI20" s="66"/>
      <c r="CJ20" s="66"/>
      <c r="CK20" s="66"/>
      <c r="CL20" s="66"/>
      <c r="CM20" s="66"/>
      <c r="CN20" s="68"/>
    </row>
    <row r="21" spans="1:93">
      <c r="A21" s="141">
        <f t="shared" si="4"/>
        <v>41176</v>
      </c>
      <c r="B21" s="401">
        <v>0.4201388888888889</v>
      </c>
      <c r="C21" s="396">
        <f t="shared" si="5"/>
        <v>25.5</v>
      </c>
      <c r="D21" s="381"/>
      <c r="E21" s="382"/>
      <c r="F21" s="72"/>
      <c r="G21" s="71"/>
      <c r="H21" s="72"/>
      <c r="I21" s="72"/>
      <c r="J21" s="256"/>
      <c r="K21" s="256"/>
      <c r="L21" s="73"/>
      <c r="M21" s="256">
        <v>65</v>
      </c>
      <c r="N21" s="72">
        <v>65</v>
      </c>
      <c r="O21" s="261">
        <f>(N17-M21)*N$4/(C21+C20+C19)</f>
        <v>1.7771972789115646</v>
      </c>
      <c r="P21" s="425"/>
      <c r="Q21" s="425"/>
      <c r="R21" s="425"/>
      <c r="S21" s="86"/>
      <c r="T21" s="86"/>
      <c r="U21" s="86"/>
      <c r="V21" s="65"/>
      <c r="W21" s="66"/>
      <c r="X21" s="66"/>
      <c r="Y21" s="66"/>
      <c r="Z21" s="66"/>
      <c r="AA21" s="86"/>
      <c r="AB21" s="86"/>
      <c r="AC21" s="63"/>
      <c r="AD21" s="277"/>
      <c r="AE21" s="278"/>
      <c r="AF21" s="279"/>
      <c r="AG21" s="280"/>
      <c r="AH21" s="281"/>
      <c r="AI21" s="278"/>
      <c r="AJ21" s="282"/>
      <c r="AK21" s="65">
        <v>6.46</v>
      </c>
      <c r="AL21" s="66">
        <v>35.4</v>
      </c>
      <c r="AM21" s="66">
        <v>126</v>
      </c>
      <c r="AN21" s="89">
        <f>(AM21-AM17)*AQ$1/((C21+C20+C19)/24)</f>
        <v>49.371428571428574</v>
      </c>
      <c r="AO21" s="89">
        <f t="shared" ref="AO21:AO28" si="6">AQ$3/AN21</f>
        <v>28.619791666666664</v>
      </c>
      <c r="AP21" s="66">
        <v>65</v>
      </c>
      <c r="AQ21" s="72">
        <f t="shared" ref="AQ21:AQ29" si="7">(AP21-AP$9)*AP$2</f>
        <v>4369.015625</v>
      </c>
      <c r="AR21" s="72">
        <f>(AQ21-AQ17)/((C21+C20+C19)/24)</f>
        <v>417.01122448979584</v>
      </c>
      <c r="AS21" s="143">
        <f>(AQ21-AQ17)/(C21+C20+C19)</f>
        <v>17.375467687074828</v>
      </c>
      <c r="AT21" s="72">
        <f>AR21/(AN21*(AVERAGE(D13,D18))*AVERAGE(E13,E18)*0.0001)</f>
        <v>409.29778225182901</v>
      </c>
      <c r="AU21" s="66"/>
      <c r="AV21" s="143">
        <f>AR21/(AN21*D$18*0.01)</f>
        <v>252.88646417482491</v>
      </c>
      <c r="AW21" s="433">
        <f>AR21/AQ$3</f>
        <v>0.29512471655328792</v>
      </c>
      <c r="AX21" s="66">
        <v>60.3</v>
      </c>
      <c r="AY21" s="66">
        <v>39.6</v>
      </c>
      <c r="AZ21" s="66">
        <v>0</v>
      </c>
      <c r="BA21" s="66">
        <v>90</v>
      </c>
      <c r="BB21" s="66">
        <v>795</v>
      </c>
      <c r="BC21" s="90"/>
      <c r="BD21" s="91"/>
      <c r="BE21" s="147"/>
      <c r="BF21" s="261"/>
      <c r="BG21" s="65"/>
      <c r="BH21" s="66"/>
      <c r="BI21" s="66"/>
      <c r="BJ21" s="66"/>
      <c r="BK21" s="66"/>
      <c r="BL21" s="256"/>
      <c r="BM21" s="256"/>
      <c r="BN21" s="63"/>
      <c r="BO21" s="277"/>
      <c r="BP21" s="278"/>
      <c r="BQ21" s="279"/>
      <c r="BR21" s="293"/>
      <c r="BS21" s="287"/>
      <c r="BT21" s="281"/>
      <c r="BU21" s="67"/>
      <c r="BV21" s="65">
        <v>6.31</v>
      </c>
      <c r="BW21" s="66">
        <v>49.1</v>
      </c>
      <c r="BX21" s="66">
        <v>61</v>
      </c>
      <c r="BY21" s="66"/>
      <c r="BZ21" s="66"/>
      <c r="CA21" s="66">
        <v>16</v>
      </c>
      <c r="CB21" s="285">
        <f t="shared" ref="CB21:CB29" si="8">(CA21-CA$9)*CA$2</f>
        <v>954.75625000000014</v>
      </c>
      <c r="CC21" s="285">
        <f>(CB21-CB17)/(((C21+C20+C19)/24))</f>
        <v>133.61020408163267</v>
      </c>
      <c r="CD21" s="289">
        <f>(CB21-CB20)/(C21+C20+C19)</f>
        <v>12.989880952380954</v>
      </c>
      <c r="CE21" s="72"/>
      <c r="CF21" s="66"/>
      <c r="CG21" s="143"/>
      <c r="CH21" s="433">
        <f>CC21/CB$3</f>
        <v>0.17910215024347542</v>
      </c>
      <c r="CI21" s="66">
        <v>55.5</v>
      </c>
      <c r="CJ21" s="66">
        <v>38.299999999999997</v>
      </c>
      <c r="CK21" s="66">
        <v>0</v>
      </c>
      <c r="CL21" s="66">
        <v>171</v>
      </c>
      <c r="CM21" s="66">
        <v>785</v>
      </c>
      <c r="CN21" s="68"/>
    </row>
    <row r="22" spans="1:93">
      <c r="A22" s="141">
        <f t="shared" si="4"/>
        <v>41177</v>
      </c>
      <c r="B22" s="401">
        <v>0.59722222222222221</v>
      </c>
      <c r="C22" s="396">
        <f t="shared" si="5"/>
        <v>28.25</v>
      </c>
      <c r="D22" s="381"/>
      <c r="E22" s="382"/>
      <c r="F22" s="72"/>
      <c r="G22" s="71"/>
      <c r="H22" s="72"/>
      <c r="I22" s="72"/>
      <c r="J22" s="256"/>
      <c r="K22" s="256"/>
      <c r="L22" s="73"/>
      <c r="M22" s="256">
        <v>53</v>
      </c>
      <c r="N22" s="72">
        <v>53</v>
      </c>
      <c r="O22" s="261"/>
      <c r="P22" s="425"/>
      <c r="Q22" s="425"/>
      <c r="R22" s="425"/>
      <c r="S22" s="86"/>
      <c r="T22" s="86"/>
      <c r="U22" s="86"/>
      <c r="V22" s="65"/>
      <c r="W22" s="66"/>
      <c r="X22" s="66"/>
      <c r="Y22" s="66"/>
      <c r="Z22" s="66"/>
      <c r="AA22" s="86"/>
      <c r="AB22" s="86"/>
      <c r="AC22" s="63"/>
      <c r="AD22" s="277"/>
      <c r="AE22" s="278"/>
      <c r="AF22" s="279"/>
      <c r="AG22" s="280"/>
      <c r="AH22" s="281"/>
      <c r="AI22" s="278"/>
      <c r="AJ22" s="282"/>
      <c r="AK22" s="65"/>
      <c r="AL22" s="66">
        <v>35.299999999999997</v>
      </c>
      <c r="AM22" s="66">
        <v>153</v>
      </c>
      <c r="AN22" s="89">
        <f t="shared" ref="AN22:AN51" si="9">(AM22-AM21)*AQ$1/((C22)/24)</f>
        <v>49.546194690265494</v>
      </c>
      <c r="AO22" s="89">
        <f t="shared" si="6"/>
        <v>28.518840020576128</v>
      </c>
      <c r="AP22" s="66">
        <v>77</v>
      </c>
      <c r="AQ22" s="72">
        <f t="shared" si="7"/>
        <v>5175.6031250000005</v>
      </c>
      <c r="AR22" s="72">
        <f t="shared" ref="AR22:AR51" si="10">(AQ22-AQ21)/(C22/24)</f>
        <v>685.2424778761067</v>
      </c>
      <c r="AS22" s="143">
        <f t="shared" ref="AS22:AS51" si="11">(AQ22-AQ21)/C22</f>
        <v>28.551769911504444</v>
      </c>
      <c r="AT22" s="72">
        <f>AR22/(AN22*(AVERAGE(D$13,D$18))*AVERAGE(E$13,E$18)*0.0001)</f>
        <v>670.19519900884336</v>
      </c>
      <c r="AU22" s="66"/>
      <c r="AV22" s="143">
        <f>AR22/(AN22*D$18*0.01)</f>
        <v>414.08309923363174</v>
      </c>
      <c r="AW22" s="433">
        <f t="shared" ref="AW22:AW63" si="12">AR22/AQ$3</f>
        <v>0.48495575221238973</v>
      </c>
      <c r="AX22" s="66"/>
      <c r="AY22" s="66"/>
      <c r="AZ22" s="66"/>
      <c r="BA22" s="66"/>
      <c r="BB22" s="66"/>
      <c r="BC22" s="90"/>
      <c r="BD22" s="91"/>
      <c r="BE22" s="147"/>
      <c r="BF22" s="261"/>
      <c r="BG22" s="65"/>
      <c r="BH22" s="66"/>
      <c r="BI22" s="66"/>
      <c r="BJ22" s="66"/>
      <c r="BK22" s="66"/>
      <c r="BL22" s="256"/>
      <c r="BM22" s="256"/>
      <c r="BN22" s="63"/>
      <c r="BO22" s="277"/>
      <c r="BP22" s="278"/>
      <c r="BQ22" s="279"/>
      <c r="BR22" s="293"/>
      <c r="BS22" s="287"/>
      <c r="BT22" s="281"/>
      <c r="BU22" s="67"/>
      <c r="BV22" s="65"/>
      <c r="BW22" s="66">
        <v>49.8</v>
      </c>
      <c r="BX22" s="66">
        <v>61</v>
      </c>
      <c r="BY22" s="66"/>
      <c r="BZ22" s="66"/>
      <c r="CA22" s="66">
        <v>18</v>
      </c>
      <c r="CB22" s="285">
        <f t="shared" si="8"/>
        <v>1091.1500000000001</v>
      </c>
      <c r="CC22" s="285">
        <f t="shared" ref="CC22:CC51" si="13">(CB22-CB21)/((C22/24))</f>
        <v>115.87433628318581</v>
      </c>
      <c r="CD22" s="289">
        <f t="shared" ref="CD22:CD51" si="14">(CB22-CB21)/(C22)</f>
        <v>4.8280973451327416</v>
      </c>
      <c r="CE22" s="72"/>
      <c r="CF22" s="66"/>
      <c r="CG22" s="143"/>
      <c r="CH22" s="433">
        <f t="shared" ref="CH22:CH83" si="15">CC22/CB$3</f>
        <v>0.15532752852973969</v>
      </c>
      <c r="CI22" s="66"/>
      <c r="CJ22" s="66"/>
      <c r="CK22" s="66"/>
      <c r="CL22" s="66"/>
      <c r="CM22" s="66"/>
      <c r="CN22" s="68"/>
    </row>
    <row r="23" spans="1:93" s="337" customFormat="1">
      <c r="A23" s="309">
        <f t="shared" si="4"/>
        <v>41178</v>
      </c>
      <c r="B23" s="402">
        <v>0.47916666666666669</v>
      </c>
      <c r="C23" s="406">
        <f t="shared" si="5"/>
        <v>21.166666666666664</v>
      </c>
      <c r="D23" s="379">
        <v>2.93</v>
      </c>
      <c r="E23" s="380">
        <v>74.69</v>
      </c>
      <c r="F23" s="313"/>
      <c r="G23" s="312"/>
      <c r="H23" s="313"/>
      <c r="I23" s="313"/>
      <c r="J23" s="315"/>
      <c r="K23" s="315"/>
      <c r="L23" s="314"/>
      <c r="M23" s="315">
        <v>47</v>
      </c>
      <c r="N23" s="313">
        <v>81</v>
      </c>
      <c r="O23" s="316">
        <f>(N22-M23)*N$4/(C23)</f>
        <v>1.4241259842519687</v>
      </c>
      <c r="P23" s="425"/>
      <c r="Q23" s="425"/>
      <c r="R23" s="425"/>
      <c r="S23" s="317"/>
      <c r="T23" s="317"/>
      <c r="U23" s="317"/>
      <c r="V23" s="339">
        <v>2.4</v>
      </c>
      <c r="W23" s="365">
        <v>72.5</v>
      </c>
      <c r="X23" s="319"/>
      <c r="Y23" s="319"/>
      <c r="Z23" s="319"/>
      <c r="AA23" s="317"/>
      <c r="AB23" s="317"/>
      <c r="AC23" s="320"/>
      <c r="AD23" s="321"/>
      <c r="AE23" s="322"/>
      <c r="AF23" s="323"/>
      <c r="AG23" s="324"/>
      <c r="AH23" s="325"/>
      <c r="AI23" s="322"/>
      <c r="AJ23" s="326"/>
      <c r="AK23" s="318"/>
      <c r="AL23" s="327">
        <f>(35.4+34.7)/2</f>
        <v>35.049999999999997</v>
      </c>
      <c r="AM23" s="319">
        <v>175</v>
      </c>
      <c r="AN23" s="327">
        <f t="shared" si="9"/>
        <v>53.880944881889775</v>
      </c>
      <c r="AO23" s="327">
        <f t="shared" si="6"/>
        <v>26.224484427609422</v>
      </c>
      <c r="AP23" s="319">
        <v>83</v>
      </c>
      <c r="AQ23" s="313">
        <f t="shared" si="7"/>
        <v>5578.8968750000004</v>
      </c>
      <c r="AR23" s="313">
        <f t="shared" si="10"/>
        <v>457.2779527559054</v>
      </c>
      <c r="AS23" s="328">
        <f t="shared" si="11"/>
        <v>19.053248031496057</v>
      </c>
      <c r="AT23" s="72">
        <f>AR23/(AN23*(AVERAGE(D$13,D$18))*AVERAGE(E$13,E$18)*0.0001)</f>
        <v>411.25614484633519</v>
      </c>
      <c r="AU23" s="313">
        <f>(AQ23-AQ17)/(AVERAGE(AN17:AN23)*((D18*E18)-(V23*W23))*0.0001*(SUM(C17:C23)/24))</f>
        <v>1122.0649857587125</v>
      </c>
      <c r="AV23" s="143">
        <f>AR23/(AN23*D$18*0.01)</f>
        <v>254.09644725700105</v>
      </c>
      <c r="AW23" s="433">
        <f t="shared" si="12"/>
        <v>0.32362204724409444</v>
      </c>
      <c r="AX23" s="319">
        <v>61.1</v>
      </c>
      <c r="AY23" s="319">
        <v>36.700000000000003</v>
      </c>
      <c r="AZ23" s="319">
        <v>0</v>
      </c>
      <c r="BA23" s="319">
        <v>26</v>
      </c>
      <c r="BB23" s="319">
        <v>410</v>
      </c>
      <c r="BC23" s="317"/>
      <c r="BD23" s="329"/>
      <c r="BE23" s="330"/>
      <c r="BF23" s="316"/>
      <c r="BG23" s="318"/>
      <c r="BH23" s="319"/>
      <c r="BI23" s="319"/>
      <c r="BJ23" s="319"/>
      <c r="BK23" s="319"/>
      <c r="BL23" s="315"/>
      <c r="BM23" s="315"/>
      <c r="BN23" s="320"/>
      <c r="BO23" s="321"/>
      <c r="BP23" s="322"/>
      <c r="BQ23" s="323"/>
      <c r="BR23" s="319"/>
      <c r="BS23" s="331"/>
      <c r="BT23" s="325"/>
      <c r="BU23" s="332"/>
      <c r="BV23" s="318"/>
      <c r="BW23" s="319">
        <v>49.5</v>
      </c>
      <c r="BX23" s="319">
        <v>62</v>
      </c>
      <c r="BY23" s="423">
        <f t="shared" ref="BY23:BY29" si="16">(BX23-BX22)*CB$1/((C23)/24)</f>
        <v>2.2677165354330713</v>
      </c>
      <c r="BZ23" s="327">
        <f t="shared" ref="BZ23:BZ28" si="17">CB$3/BY23</f>
        <v>328.96527777777771</v>
      </c>
      <c r="CA23" s="319">
        <v>19</v>
      </c>
      <c r="CB23" s="333">
        <f t="shared" si="8"/>
        <v>1159.3468750000002</v>
      </c>
      <c r="CC23" s="333">
        <f t="shared" si="13"/>
        <v>77.325590551181222</v>
      </c>
      <c r="CD23" s="334">
        <f t="shared" si="14"/>
        <v>3.2218996062992171</v>
      </c>
      <c r="CE23" s="421">
        <f>CC23/(BY23*(AVERAGE(D$13,D$18))*AVERAGE(E$13,E$18)*0.0001)</f>
        <v>1652.3491413811475</v>
      </c>
      <c r="CF23" s="72"/>
      <c r="CG23" s="143"/>
      <c r="CH23" s="433">
        <f t="shared" si="15"/>
        <v>0.10365360663697215</v>
      </c>
      <c r="CI23" s="319">
        <v>53.1</v>
      </c>
      <c r="CJ23" s="319">
        <v>39.700000000000003</v>
      </c>
      <c r="CK23" s="319">
        <v>0</v>
      </c>
      <c r="CL23" s="319">
        <v>72</v>
      </c>
      <c r="CM23" s="319">
        <v>505</v>
      </c>
      <c r="CN23" s="336"/>
    </row>
    <row r="24" spans="1:93" ht="42.75">
      <c r="A24" s="141">
        <f t="shared" si="4"/>
        <v>41179</v>
      </c>
      <c r="B24" s="401">
        <v>0.44444444444444442</v>
      </c>
      <c r="C24" s="396">
        <f t="shared" si="5"/>
        <v>23.166666666666664</v>
      </c>
      <c r="D24" s="70"/>
      <c r="E24" s="71"/>
      <c r="F24" s="72"/>
      <c r="G24" s="71"/>
      <c r="H24" s="72"/>
      <c r="I24" s="72"/>
      <c r="J24" s="256"/>
      <c r="K24" s="256"/>
      <c r="L24" s="73"/>
      <c r="M24" s="345">
        <v>80</v>
      </c>
      <c r="N24" s="346">
        <v>80</v>
      </c>
      <c r="O24" s="308">
        <f>(N23-M24)*N$4/(C24)</f>
        <v>0.21686330935251802</v>
      </c>
      <c r="P24" s="425"/>
      <c r="Q24" s="425"/>
      <c r="R24" s="425"/>
      <c r="S24" s="86"/>
      <c r="T24" s="86"/>
      <c r="U24" s="86"/>
      <c r="V24" s="65"/>
      <c r="W24" s="66"/>
      <c r="X24" s="66"/>
      <c r="Y24" s="66"/>
      <c r="Z24" s="66"/>
      <c r="AA24" s="86"/>
      <c r="AB24" s="86"/>
      <c r="AC24" s="63"/>
      <c r="AD24" s="277"/>
      <c r="AE24" s="278"/>
      <c r="AF24" s="279"/>
      <c r="AG24" s="280"/>
      <c r="AH24" s="281"/>
      <c r="AI24" s="278"/>
      <c r="AJ24" s="282"/>
      <c r="AK24" s="65"/>
      <c r="AL24" s="364">
        <v>32</v>
      </c>
      <c r="AM24" s="66">
        <v>178</v>
      </c>
      <c r="AN24" s="89">
        <f t="shared" si="9"/>
        <v>6.7130935251798576</v>
      </c>
      <c r="AO24" s="89">
        <f t="shared" si="6"/>
        <v>210.48418209876539</v>
      </c>
      <c r="AP24" s="66">
        <v>84</v>
      </c>
      <c r="AQ24" s="72">
        <f t="shared" si="7"/>
        <v>5646.1125000000002</v>
      </c>
      <c r="AR24" s="72">
        <f t="shared" si="10"/>
        <v>69.633453237409896</v>
      </c>
      <c r="AS24" s="143">
        <f t="shared" si="11"/>
        <v>2.9013938848920788</v>
      </c>
      <c r="AT24" s="72">
        <f t="shared" ref="AT24:AT31" si="18">AR24/(AN24*(AVERAGE(D$13,D$18,D$23))*AVERAGE(E$13,E$18,E$23)*0.0001)</f>
        <v>492.79858564257131</v>
      </c>
      <c r="AU24" s="66"/>
      <c r="AV24" s="143">
        <f t="shared" ref="AV24:AV31" si="19">AR24/(AN24*AVERAGE(D$18,D$23)*0.01)</f>
        <v>330.87022761730276</v>
      </c>
      <c r="AW24" s="434">
        <f t="shared" si="12"/>
        <v>4.9280575539568224E-2</v>
      </c>
      <c r="AX24" s="66">
        <v>64.7</v>
      </c>
      <c r="AY24" s="66">
        <v>33.700000000000003</v>
      </c>
      <c r="AZ24" s="66">
        <v>0</v>
      </c>
      <c r="BA24" s="66">
        <v>88</v>
      </c>
      <c r="BB24" s="66">
        <v>620</v>
      </c>
      <c r="BC24" s="90"/>
      <c r="BD24" s="91"/>
      <c r="BE24" s="147"/>
      <c r="BF24" s="261"/>
      <c r="BG24" s="65"/>
      <c r="BH24" s="66"/>
      <c r="BI24" s="66"/>
      <c r="BJ24" s="66"/>
      <c r="BK24" s="66"/>
      <c r="BL24" s="256"/>
      <c r="BM24" s="256"/>
      <c r="BN24" s="63"/>
      <c r="BO24" s="277"/>
      <c r="BP24" s="278"/>
      <c r="BQ24" s="279"/>
      <c r="BR24" s="293"/>
      <c r="BS24" s="287"/>
      <c r="BT24" s="281"/>
      <c r="BU24" s="67"/>
      <c r="BV24" s="65">
        <v>6.16</v>
      </c>
      <c r="BW24" s="364">
        <v>36.299999999999997</v>
      </c>
      <c r="BX24" s="66">
        <v>64</v>
      </c>
      <c r="BY24" s="280">
        <f t="shared" si="16"/>
        <v>4.1438848920863309</v>
      </c>
      <c r="BZ24" s="280">
        <f t="shared" si="17"/>
        <v>180.02430555555554</v>
      </c>
      <c r="CA24" s="66">
        <v>20</v>
      </c>
      <c r="CB24" s="285">
        <f t="shared" si="8"/>
        <v>1227.54375</v>
      </c>
      <c r="CC24" s="285">
        <f t="shared" si="13"/>
        <v>70.649999999999864</v>
      </c>
      <c r="CD24" s="289">
        <f t="shared" si="14"/>
        <v>2.9437499999999943</v>
      </c>
      <c r="CE24" s="72">
        <f>CC24/(BY24*(AVERAGE(D$13,D$18,D$23))*AVERAGE(E$13,E$18,E$23)*0.0001)</f>
        <v>809.98821543791462</v>
      </c>
      <c r="CF24" s="66"/>
      <c r="CG24" s="143">
        <f>CC24/(BY24*AVERAGE(D$18,D$23)*0.01)</f>
        <v>543.83472886762252</v>
      </c>
      <c r="CH24" s="434">
        <f t="shared" si="15"/>
        <v>9.470509383377998E-2</v>
      </c>
      <c r="CI24" s="66">
        <v>57.1</v>
      </c>
      <c r="CJ24" s="66">
        <v>38.6</v>
      </c>
      <c r="CK24" s="66">
        <v>0.1</v>
      </c>
      <c r="CL24" s="66">
        <v>189</v>
      </c>
      <c r="CM24" s="66">
        <v>595</v>
      </c>
      <c r="CN24" s="68" t="s">
        <v>83</v>
      </c>
      <c r="CO24" t="s">
        <v>84</v>
      </c>
    </row>
    <row r="25" spans="1:93">
      <c r="A25" s="141">
        <f t="shared" si="4"/>
        <v>41180</v>
      </c>
      <c r="B25" s="401">
        <v>0.44444444444444442</v>
      </c>
      <c r="C25" s="396">
        <f t="shared" si="5"/>
        <v>24</v>
      </c>
      <c r="D25" s="70"/>
      <c r="E25" s="71"/>
      <c r="F25" s="72"/>
      <c r="G25" s="71"/>
      <c r="H25" s="72"/>
      <c r="I25" s="72"/>
      <c r="J25" s="256"/>
      <c r="K25" s="256"/>
      <c r="L25" s="73"/>
      <c r="M25" s="345">
        <v>83</v>
      </c>
      <c r="N25" s="346">
        <v>83</v>
      </c>
      <c r="O25" s="261"/>
      <c r="P25" s="425"/>
      <c r="Q25" s="425"/>
      <c r="R25" s="425"/>
      <c r="S25" s="86"/>
      <c r="T25" s="86"/>
      <c r="U25" s="86"/>
      <c r="V25" s="65"/>
      <c r="W25" s="66"/>
      <c r="X25" s="66"/>
      <c r="Y25" s="66"/>
      <c r="Z25" s="66"/>
      <c r="AA25" s="86"/>
      <c r="AB25" s="86"/>
      <c r="AC25" s="63"/>
      <c r="AD25" s="277"/>
      <c r="AE25" s="278"/>
      <c r="AF25" s="279"/>
      <c r="AG25" s="280"/>
      <c r="AH25" s="281"/>
      <c r="AI25" s="278"/>
      <c r="AJ25" s="282"/>
      <c r="AK25" s="65">
        <v>6.53</v>
      </c>
      <c r="AL25" s="364">
        <v>33.200000000000003</v>
      </c>
      <c r="AM25" s="66">
        <v>198</v>
      </c>
      <c r="AN25" s="89">
        <f t="shared" si="9"/>
        <v>43.2</v>
      </c>
      <c r="AO25" s="89">
        <f t="shared" si="6"/>
        <v>32.708333333333329</v>
      </c>
      <c r="AP25" s="66">
        <v>99</v>
      </c>
      <c r="AQ25" s="72">
        <f t="shared" si="7"/>
        <v>6654.3468750000002</v>
      </c>
      <c r="AR25" s="72">
        <f t="shared" si="10"/>
        <v>1008.234375</v>
      </c>
      <c r="AS25" s="143">
        <f t="shared" si="11"/>
        <v>42.009765625</v>
      </c>
      <c r="AT25" s="72">
        <f t="shared" si="18"/>
        <v>1108.7968176957884</v>
      </c>
      <c r="AU25" s="66"/>
      <c r="AV25" s="143">
        <f t="shared" si="19"/>
        <v>744.45801213893321</v>
      </c>
      <c r="AW25" s="433">
        <f t="shared" si="12"/>
        <v>0.71354166666666663</v>
      </c>
      <c r="AX25" s="66">
        <v>64.8</v>
      </c>
      <c r="AY25" s="66">
        <v>35.1</v>
      </c>
      <c r="AZ25" s="66">
        <v>0</v>
      </c>
      <c r="BA25" s="66">
        <v>89</v>
      </c>
      <c r="BB25" s="66">
        <v>645</v>
      </c>
      <c r="BC25" s="90"/>
      <c r="BD25" s="91"/>
      <c r="BE25" s="147"/>
      <c r="BF25" s="261"/>
      <c r="BG25" s="65"/>
      <c r="BH25" s="66"/>
      <c r="BI25" s="66"/>
      <c r="BJ25" s="66"/>
      <c r="BK25" s="66"/>
      <c r="BL25" s="256"/>
      <c r="BM25" s="256"/>
      <c r="BN25" s="63"/>
      <c r="BO25" s="277"/>
      <c r="BP25" s="278"/>
      <c r="BQ25" s="279"/>
      <c r="BR25" s="293"/>
      <c r="BS25" s="287"/>
      <c r="BT25" s="281"/>
      <c r="BU25" s="67"/>
      <c r="BV25" s="65">
        <v>6.6</v>
      </c>
      <c r="BW25" s="364">
        <v>36.799999999999997</v>
      </c>
      <c r="BX25" s="66">
        <v>79</v>
      </c>
      <c r="BY25" s="280">
        <f t="shared" si="16"/>
        <v>30</v>
      </c>
      <c r="BZ25" s="280">
        <f t="shared" si="17"/>
        <v>24.866666666666667</v>
      </c>
      <c r="CA25" s="144">
        <v>24</v>
      </c>
      <c r="CB25" s="285">
        <f t="shared" si="8"/>
        <v>1500.3312500000002</v>
      </c>
      <c r="CC25" s="285">
        <f t="shared" si="13"/>
        <v>272.78750000000014</v>
      </c>
      <c r="CD25" s="289">
        <f t="shared" si="14"/>
        <v>11.36614583333334</v>
      </c>
      <c r="CE25" s="72">
        <f>CC25/(BY25*(AVERAGE(D$13,D$18,D$23))*AVERAGE(E$13,E$18,E$23)*0.0001)</f>
        <v>431.99371490022213</v>
      </c>
      <c r="CF25" s="66"/>
      <c r="CG25" s="143">
        <f>CC25/(BY25*AVERAGE(D$18,D$23)*0.01)</f>
        <v>290.0451887293994</v>
      </c>
      <c r="CH25" s="433">
        <f t="shared" si="15"/>
        <v>0.36566689008042913</v>
      </c>
      <c r="CI25" s="66">
        <v>66.8</v>
      </c>
      <c r="CJ25" s="66">
        <v>36.799999999999997</v>
      </c>
      <c r="CK25" s="66">
        <v>0</v>
      </c>
      <c r="CL25" s="66">
        <v>152</v>
      </c>
      <c r="CM25" s="66">
        <v>665</v>
      </c>
      <c r="CN25" s="68"/>
      <c r="CO25" t="s">
        <v>85</v>
      </c>
    </row>
    <row r="26" spans="1:93" s="69" customFormat="1">
      <c r="A26" s="141">
        <f t="shared" ref="A26:A31" si="20">A25+1</f>
        <v>41181</v>
      </c>
      <c r="B26" s="401">
        <f>B25</f>
        <v>0.44444444444444442</v>
      </c>
      <c r="C26" s="396">
        <f t="shared" si="5"/>
        <v>24</v>
      </c>
      <c r="D26" s="70"/>
      <c r="E26" s="71"/>
      <c r="F26" s="72"/>
      <c r="G26" s="71"/>
      <c r="H26" s="72"/>
      <c r="I26" s="72"/>
      <c r="J26" s="256"/>
      <c r="K26" s="256"/>
      <c r="L26" s="73"/>
      <c r="M26" s="256"/>
      <c r="N26" s="72"/>
      <c r="O26" s="261"/>
      <c r="P26" s="425"/>
      <c r="Q26" s="425"/>
      <c r="R26" s="425"/>
      <c r="S26" s="86"/>
      <c r="T26" s="86"/>
      <c r="U26" s="86"/>
      <c r="V26" s="65"/>
      <c r="W26" s="66"/>
      <c r="X26" s="66"/>
      <c r="Y26" s="66"/>
      <c r="Z26" s="66"/>
      <c r="AA26" s="86"/>
      <c r="AB26" s="86"/>
      <c r="AC26" s="63"/>
      <c r="AD26" s="277"/>
      <c r="AE26" s="278"/>
      <c r="AF26" s="279"/>
      <c r="AG26" s="280"/>
      <c r="AH26" s="281"/>
      <c r="AI26" s="278"/>
      <c r="AJ26" s="282"/>
      <c r="AK26" s="65"/>
      <c r="AL26" s="66">
        <v>35.299999999999997</v>
      </c>
      <c r="AM26" s="66">
        <v>221</v>
      </c>
      <c r="AN26" s="89">
        <f t="shared" si="9"/>
        <v>49.680000000000007</v>
      </c>
      <c r="AO26" s="89">
        <f t="shared" si="6"/>
        <v>28.442028985507243</v>
      </c>
      <c r="AP26" s="66">
        <v>113</v>
      </c>
      <c r="AQ26" s="72">
        <f t="shared" si="7"/>
        <v>7595.3656250000004</v>
      </c>
      <c r="AR26" s="72">
        <f t="shared" si="10"/>
        <v>941.01875000000018</v>
      </c>
      <c r="AS26" s="143">
        <f t="shared" si="11"/>
        <v>39.209114583333339</v>
      </c>
      <c r="AT26" s="72">
        <f t="shared" si="18"/>
        <v>899.89306943426311</v>
      </c>
      <c r="AU26" s="66"/>
      <c r="AV26" s="143">
        <f t="shared" si="19"/>
        <v>604.19780695333714</v>
      </c>
      <c r="AW26" s="433">
        <f t="shared" si="12"/>
        <v>0.6659722222222223</v>
      </c>
      <c r="AX26" s="66"/>
      <c r="AY26" s="66"/>
      <c r="AZ26" s="66"/>
      <c r="BA26" s="66"/>
      <c r="BB26" s="66"/>
      <c r="BC26" s="90"/>
      <c r="BD26" s="91"/>
      <c r="BE26" s="147"/>
      <c r="BF26" s="261"/>
      <c r="BG26" s="65"/>
      <c r="BH26" s="66"/>
      <c r="BI26" s="66"/>
      <c r="BJ26" s="66"/>
      <c r="BK26" s="66"/>
      <c r="BL26" s="256"/>
      <c r="BM26" s="256"/>
      <c r="BN26" s="63"/>
      <c r="BO26" s="93"/>
      <c r="BP26" s="83"/>
      <c r="BQ26" s="88"/>
      <c r="BR26" s="85"/>
      <c r="BS26" s="64"/>
      <c r="BT26" s="66"/>
      <c r="BU26" s="67"/>
      <c r="BV26" s="65"/>
      <c r="BW26" s="66">
        <v>49</v>
      </c>
      <c r="BX26" s="66">
        <v>96</v>
      </c>
      <c r="BY26" s="280">
        <f t="shared" si="16"/>
        <v>34</v>
      </c>
      <c r="BZ26" s="280">
        <f t="shared" si="17"/>
        <v>21.941176470588236</v>
      </c>
      <c r="CA26" s="66">
        <v>25</v>
      </c>
      <c r="CB26" s="301">
        <f t="shared" si="8"/>
        <v>1568.528125</v>
      </c>
      <c r="CC26" s="285">
        <f t="shared" si="13"/>
        <v>68.196874999999864</v>
      </c>
      <c r="CD26" s="289">
        <f t="shared" si="14"/>
        <v>2.8415364583333278</v>
      </c>
      <c r="CE26" s="72">
        <f>CC26/(BY26*(AVERAGE(D$13,D$18,D$23))*AVERAGE(E$13,E$18,E$23)*0.0001)</f>
        <v>95.292731227989933</v>
      </c>
      <c r="CF26" s="66"/>
      <c r="CG26" s="143">
        <f>CC26/(BY26*AVERAGE(D$18,D$23)*0.01)</f>
        <v>63.980556337367361</v>
      </c>
      <c r="CH26" s="433">
        <f t="shared" si="15"/>
        <v>9.141672252010706E-2</v>
      </c>
      <c r="CI26" s="66"/>
      <c r="CJ26" s="66"/>
      <c r="CK26" s="66"/>
      <c r="CL26" s="66"/>
      <c r="CM26" s="66"/>
      <c r="CN26" s="68"/>
    </row>
    <row r="27" spans="1:93">
      <c r="A27" s="141">
        <f t="shared" si="20"/>
        <v>41182</v>
      </c>
      <c r="B27" s="403">
        <f>B26</f>
        <v>0.44444444444444442</v>
      </c>
      <c r="C27" s="396">
        <f t="shared" si="5"/>
        <v>24</v>
      </c>
      <c r="D27" s="74"/>
      <c r="E27" s="75"/>
      <c r="F27" s="76"/>
      <c r="G27" s="75"/>
      <c r="H27" s="76"/>
      <c r="I27" s="76"/>
      <c r="J27" s="78"/>
      <c r="K27" s="78"/>
      <c r="L27" s="77"/>
      <c r="M27" s="78"/>
      <c r="N27" s="76"/>
      <c r="O27" s="262"/>
      <c r="P27" s="426"/>
      <c r="Q27" s="426"/>
      <c r="R27" s="426"/>
      <c r="S27" s="145"/>
      <c r="T27" s="145"/>
      <c r="U27" s="86"/>
      <c r="V27" s="146"/>
      <c r="W27" s="147"/>
      <c r="X27" s="147"/>
      <c r="Y27" s="147"/>
      <c r="Z27" s="147"/>
      <c r="AA27" s="145"/>
      <c r="AB27" s="145"/>
      <c r="AC27" s="148"/>
      <c r="AD27" s="277"/>
      <c r="AE27" s="278"/>
      <c r="AF27" s="279"/>
      <c r="AG27" s="280"/>
      <c r="AH27" s="281"/>
      <c r="AI27" s="278"/>
      <c r="AJ27" s="282"/>
      <c r="AK27" s="65"/>
      <c r="AL27" s="66">
        <v>35.299999999999997</v>
      </c>
      <c r="AM27" s="66">
        <v>245</v>
      </c>
      <c r="AN27" s="89">
        <f t="shared" si="9"/>
        <v>51.84</v>
      </c>
      <c r="AO27" s="89">
        <f t="shared" si="6"/>
        <v>27.256944444444443</v>
      </c>
      <c r="AP27" s="66">
        <v>127</v>
      </c>
      <c r="AQ27" s="72">
        <f t="shared" si="7"/>
        <v>8536.3843749999996</v>
      </c>
      <c r="AR27" s="72">
        <f t="shared" si="10"/>
        <v>941.01874999999927</v>
      </c>
      <c r="AS27" s="143">
        <f t="shared" si="11"/>
        <v>39.209114583333303</v>
      </c>
      <c r="AT27" s="72">
        <f t="shared" si="18"/>
        <v>862.39752487450141</v>
      </c>
      <c r="AU27" s="66"/>
      <c r="AV27" s="143">
        <f t="shared" si="19"/>
        <v>579.0228983302809</v>
      </c>
      <c r="AW27" s="433">
        <f t="shared" si="12"/>
        <v>0.66597222222222174</v>
      </c>
      <c r="AX27" s="147"/>
      <c r="AY27" s="147"/>
      <c r="AZ27" s="147"/>
      <c r="BA27" s="147"/>
      <c r="BB27" s="147"/>
      <c r="BC27" s="152"/>
      <c r="BD27" s="155"/>
      <c r="BE27" s="147"/>
      <c r="BF27" s="261"/>
      <c r="BG27" s="146"/>
      <c r="BH27" s="147"/>
      <c r="BI27" s="147"/>
      <c r="BJ27" s="147"/>
      <c r="BK27" s="147"/>
      <c r="BL27" s="78"/>
      <c r="BM27" s="78"/>
      <c r="BN27" s="148"/>
      <c r="BO27" s="149"/>
      <c r="BP27" s="149"/>
      <c r="BQ27" s="149"/>
      <c r="BR27" s="147"/>
      <c r="BS27" s="153"/>
      <c r="BT27" s="147"/>
      <c r="BU27" s="154"/>
      <c r="BV27" s="146"/>
      <c r="BW27" s="147">
        <v>48.7</v>
      </c>
      <c r="BX27" s="147">
        <v>113</v>
      </c>
      <c r="BY27" s="280">
        <f t="shared" si="16"/>
        <v>34</v>
      </c>
      <c r="BZ27" s="280">
        <f t="shared" si="17"/>
        <v>21.941176470588236</v>
      </c>
      <c r="CA27" s="147">
        <v>25</v>
      </c>
      <c r="CB27" s="301">
        <f t="shared" si="8"/>
        <v>1568.528125</v>
      </c>
      <c r="CC27" s="285"/>
      <c r="CD27" s="289"/>
      <c r="CE27" s="72"/>
      <c r="CF27" s="66"/>
      <c r="CG27" s="143"/>
      <c r="CH27" s="433"/>
      <c r="CI27" s="147"/>
      <c r="CJ27" s="147"/>
      <c r="CK27" s="147"/>
      <c r="CL27" s="147"/>
      <c r="CM27" s="147"/>
      <c r="CN27" s="68"/>
    </row>
    <row r="28" spans="1:93" s="337" customFormat="1">
      <c r="A28" s="309">
        <f t="shared" si="20"/>
        <v>41183</v>
      </c>
      <c r="B28" s="398">
        <v>0.58333333333333337</v>
      </c>
      <c r="C28" s="395">
        <f t="shared" si="5"/>
        <v>27.333333333333332</v>
      </c>
      <c r="D28" s="387"/>
      <c r="E28" s="347"/>
      <c r="F28" s="348"/>
      <c r="G28" s="347"/>
      <c r="H28" s="348"/>
      <c r="I28" s="348"/>
      <c r="J28" s="350"/>
      <c r="K28" s="350"/>
      <c r="L28" s="349"/>
      <c r="M28" s="350">
        <v>83</v>
      </c>
      <c r="N28" s="348">
        <v>83</v>
      </c>
      <c r="O28" s="351"/>
      <c r="P28" s="426"/>
      <c r="Q28" s="426"/>
      <c r="R28" s="426"/>
      <c r="S28" s="352"/>
      <c r="T28" s="352"/>
      <c r="U28" s="317"/>
      <c r="V28" s="384">
        <v>2.4</v>
      </c>
      <c r="W28" s="369">
        <v>69</v>
      </c>
      <c r="X28" s="330"/>
      <c r="Y28" s="330"/>
      <c r="Z28" s="330"/>
      <c r="AA28" s="352"/>
      <c r="AB28" s="352"/>
      <c r="AC28" s="352"/>
      <c r="AD28" s="321"/>
      <c r="AE28" s="322"/>
      <c r="AF28" s="323"/>
      <c r="AG28" s="324"/>
      <c r="AH28" s="325"/>
      <c r="AI28" s="322"/>
      <c r="AJ28" s="326"/>
      <c r="AK28" s="318">
        <v>5.71</v>
      </c>
      <c r="AL28" s="365">
        <v>33.1</v>
      </c>
      <c r="AM28" s="319">
        <v>272</v>
      </c>
      <c r="AN28" s="327">
        <f t="shared" si="9"/>
        <v>51.20780487804879</v>
      </c>
      <c r="AO28" s="327">
        <f t="shared" si="6"/>
        <v>27.593449931412888</v>
      </c>
      <c r="AP28" s="319">
        <v>140</v>
      </c>
      <c r="AQ28" s="313">
        <f t="shared" si="7"/>
        <v>9410.1875</v>
      </c>
      <c r="AR28" s="313">
        <f t="shared" si="10"/>
        <v>767.24176829268333</v>
      </c>
      <c r="AS28" s="328">
        <f t="shared" si="11"/>
        <v>31.968407012195136</v>
      </c>
      <c r="AT28" s="72">
        <f t="shared" si="18"/>
        <v>711.82017926149399</v>
      </c>
      <c r="AU28" s="313">
        <f>(AQ28-AQ23)/(AVERAGE(AN23:AN28)*((AVERAGE(D23,D18)*AVERAGE(E23,E18))-(V28*W28))*0.0001*(SUM(C23:C28)/24))</f>
        <v>2319.669129635638</v>
      </c>
      <c r="AV28" s="143">
        <f t="shared" si="19"/>
        <v>477.92366211388321</v>
      </c>
      <c r="AW28" s="433">
        <f t="shared" si="12"/>
        <v>0.5429878048780491</v>
      </c>
      <c r="AX28" s="330">
        <v>67.2</v>
      </c>
      <c r="AY28" s="330">
        <v>28.7</v>
      </c>
      <c r="AZ28" s="330">
        <v>0</v>
      </c>
      <c r="BA28" s="330">
        <v>36</v>
      </c>
      <c r="BB28" s="330">
        <v>410</v>
      </c>
      <c r="BC28" s="353"/>
      <c r="BD28" s="354"/>
      <c r="BE28" s="330"/>
      <c r="BF28" s="316"/>
      <c r="BG28" s="385">
        <v>1.59</v>
      </c>
      <c r="BH28" s="369">
        <v>73</v>
      </c>
      <c r="BI28" s="330"/>
      <c r="BJ28" s="330"/>
      <c r="BK28" s="330"/>
      <c r="BL28" s="350"/>
      <c r="BM28" s="350"/>
      <c r="BN28" s="356"/>
      <c r="BO28" s="355"/>
      <c r="BP28" s="355"/>
      <c r="BQ28" s="355"/>
      <c r="BR28" s="330"/>
      <c r="BS28" s="357"/>
      <c r="BT28" s="330"/>
      <c r="BU28" s="358"/>
      <c r="BV28" s="355">
        <v>6.77</v>
      </c>
      <c r="BW28" s="369">
        <v>43.6</v>
      </c>
      <c r="BX28" s="330">
        <v>134</v>
      </c>
      <c r="BY28" s="324">
        <f t="shared" si="16"/>
        <v>36.878048780487809</v>
      </c>
      <c r="BZ28" s="324">
        <f t="shared" si="17"/>
        <v>20.228835978835978</v>
      </c>
      <c r="CA28" s="330">
        <v>33</v>
      </c>
      <c r="CB28" s="313">
        <f t="shared" si="8"/>
        <v>2114.1031250000001</v>
      </c>
      <c r="CC28" s="333">
        <f t="shared" si="13"/>
        <v>479.04146341463422</v>
      </c>
      <c r="CD28" s="334">
        <f t="shared" si="14"/>
        <v>19.960060975609757</v>
      </c>
      <c r="CE28" s="72">
        <f>CC28/(BY28*(AVERAGE(D$13,D$18,D$23))*AVERAGE(E$13,E$18,E$23)*0.0001)</f>
        <v>617.13387842888847</v>
      </c>
      <c r="CF28" s="72">
        <f>(CB28-CB23)/(AVERAGE(BY23:BY28)*((AVERAGE(D23,D18)*AVERAGE(E23,E18))-(BG28*BH28))*0.0001*(SUM(C23:C28)/24))</f>
        <v>593.79004736906495</v>
      </c>
      <c r="CG28" s="143">
        <f>CC28/(BY28*AVERAGE(D$18,D$23)*0.01)</f>
        <v>414.35026961342749</v>
      </c>
      <c r="CH28" s="433">
        <f t="shared" si="15"/>
        <v>0.64214673379977782</v>
      </c>
      <c r="CI28" s="330"/>
      <c r="CJ28" s="330"/>
      <c r="CK28" s="330"/>
      <c r="CL28" s="330"/>
      <c r="CM28" s="330"/>
      <c r="CN28" s="336"/>
    </row>
    <row r="29" spans="1:93" ht="57">
      <c r="A29" s="141">
        <f t="shared" si="20"/>
        <v>41184</v>
      </c>
      <c r="B29" s="359">
        <v>0.60416666666666663</v>
      </c>
      <c r="C29" s="304">
        <f t="shared" si="5"/>
        <v>24.5</v>
      </c>
      <c r="D29" s="79"/>
      <c r="E29" s="80"/>
      <c r="F29" s="81"/>
      <c r="G29" s="80"/>
      <c r="H29" s="81"/>
      <c r="I29" s="81"/>
      <c r="J29" s="257"/>
      <c r="K29" s="257"/>
      <c r="L29" s="82"/>
      <c r="M29" s="257">
        <v>63</v>
      </c>
      <c r="N29" s="81">
        <v>63</v>
      </c>
      <c r="O29" s="308">
        <f>(N28-M29)*N$4/(C29)</f>
        <v>4.1012244897959187</v>
      </c>
      <c r="P29" s="427"/>
      <c r="Q29" s="427"/>
      <c r="R29" s="427"/>
      <c r="S29" s="157"/>
      <c r="T29" s="157"/>
      <c r="U29" s="86"/>
      <c r="V29" s="97"/>
      <c r="W29" s="98"/>
      <c r="X29" s="98"/>
      <c r="Y29" s="98"/>
      <c r="Z29" s="98"/>
      <c r="AA29" s="157"/>
      <c r="AB29" s="157"/>
      <c r="AC29" s="99"/>
      <c r="AD29" s="277"/>
      <c r="AE29" s="278"/>
      <c r="AF29" s="279"/>
      <c r="AG29" s="280"/>
      <c r="AH29" s="281"/>
      <c r="AI29" s="278"/>
      <c r="AJ29" s="282"/>
      <c r="AK29" s="65"/>
      <c r="AL29" s="66">
        <v>34.799999999999997</v>
      </c>
      <c r="AM29" s="66">
        <v>298</v>
      </c>
      <c r="AN29" s="89">
        <f t="shared" si="9"/>
        <v>55.013877551020414</v>
      </c>
      <c r="AO29" s="89">
        <f t="shared" ref="AO29:AO37" si="21">AQ$3/AN29</f>
        <v>25.684428418803417</v>
      </c>
      <c r="AP29" s="66">
        <v>156</v>
      </c>
      <c r="AQ29" s="72">
        <f t="shared" si="7"/>
        <v>10485.637500000001</v>
      </c>
      <c r="AR29" s="72">
        <f t="shared" si="10"/>
        <v>1053.5020408163273</v>
      </c>
      <c r="AS29" s="143">
        <f t="shared" si="11"/>
        <v>43.895918367346965</v>
      </c>
      <c r="AT29" s="72">
        <f t="shared" si="18"/>
        <v>909.78200426321143</v>
      </c>
      <c r="AU29" s="66"/>
      <c r="AV29" s="143">
        <f t="shared" si="19"/>
        <v>610.83734329348408</v>
      </c>
      <c r="AW29" s="433">
        <f t="shared" si="12"/>
        <v>0.74557823129251755</v>
      </c>
      <c r="AX29" s="98">
        <v>67</v>
      </c>
      <c r="AY29" s="98">
        <v>29</v>
      </c>
      <c r="AZ29" s="98">
        <v>0</v>
      </c>
      <c r="BA29" s="98">
        <v>59</v>
      </c>
      <c r="BB29" s="98">
        <v>449</v>
      </c>
      <c r="BC29" s="157"/>
      <c r="BD29" s="91"/>
      <c r="BE29" s="147"/>
      <c r="BF29" s="261"/>
      <c r="BG29" s="97"/>
      <c r="BH29" s="98"/>
      <c r="BI29" s="98"/>
      <c r="BJ29" s="98"/>
      <c r="BK29" s="98"/>
      <c r="BL29" s="257"/>
      <c r="BM29" s="257"/>
      <c r="BN29" s="99"/>
      <c r="BO29" s="158"/>
      <c r="BP29" s="158"/>
      <c r="BQ29" s="158"/>
      <c r="BR29" s="98"/>
      <c r="BS29" s="156"/>
      <c r="BT29" s="98"/>
      <c r="BU29" s="100"/>
      <c r="BV29" s="97"/>
      <c r="BW29" s="98">
        <v>37.1</v>
      </c>
      <c r="BX29" s="98">
        <v>147</v>
      </c>
      <c r="BY29" s="280">
        <f t="shared" si="16"/>
        <v>25.469387755102044</v>
      </c>
      <c r="BZ29" s="280">
        <f>CB$3/BY29</f>
        <v>29.290064102564099</v>
      </c>
      <c r="CA29" s="147">
        <v>49</v>
      </c>
      <c r="CB29" s="301">
        <f t="shared" si="8"/>
        <v>3205.2531250000002</v>
      </c>
      <c r="CC29" s="285">
        <f t="shared" si="13"/>
        <v>1068.8816326530614</v>
      </c>
      <c r="CD29" s="289">
        <f t="shared" si="14"/>
        <v>44.536734693877555</v>
      </c>
      <c r="CE29" s="421">
        <f>CC29/(BY29*(AVERAGE(D$13,D$18,D$23))*AVERAGE(E$13,E$18,E$23)*0.0001)</f>
        <v>1993.8171456933319</v>
      </c>
      <c r="CF29" s="66"/>
      <c r="CG29" s="143">
        <f>CC29/(BY29*AVERAGE(D$18,D$23)*0.01)</f>
        <v>1338.6701018279966</v>
      </c>
      <c r="CH29" s="433">
        <f t="shared" si="15"/>
        <v>1.4328172019478034</v>
      </c>
      <c r="CI29" s="98">
        <v>5.3</v>
      </c>
      <c r="CJ29" s="98">
        <v>11.8</v>
      </c>
      <c r="CK29" s="98">
        <v>16</v>
      </c>
      <c r="CL29" s="98">
        <v>2</v>
      </c>
      <c r="CM29" s="98">
        <v>315</v>
      </c>
      <c r="CN29" s="68" t="s">
        <v>86</v>
      </c>
    </row>
    <row r="30" spans="1:93">
      <c r="A30" s="141">
        <f t="shared" si="20"/>
        <v>41185</v>
      </c>
      <c r="B30" s="362">
        <v>0.39583333333333331</v>
      </c>
      <c r="C30" s="304">
        <f t="shared" si="5"/>
        <v>19</v>
      </c>
      <c r="D30" s="74"/>
      <c r="E30" s="75"/>
      <c r="F30" s="76"/>
      <c r="G30" s="75"/>
      <c r="H30" s="76"/>
      <c r="I30" s="76"/>
      <c r="J30" s="78"/>
      <c r="K30" s="78"/>
      <c r="L30" s="77"/>
      <c r="M30" s="78">
        <v>60</v>
      </c>
      <c r="N30" s="76">
        <v>85</v>
      </c>
      <c r="O30" s="115">
        <f>(N29-M30)*N$4/(C30)</f>
        <v>0.79326315789473678</v>
      </c>
      <c r="P30" s="426"/>
      <c r="Q30" s="426"/>
      <c r="R30" s="426"/>
      <c r="S30" s="145"/>
      <c r="T30" s="145"/>
      <c r="U30" s="86"/>
      <c r="V30" s="146"/>
      <c r="W30" s="147"/>
      <c r="X30" s="147"/>
      <c r="Y30" s="147"/>
      <c r="Z30" s="147"/>
      <c r="AA30" s="145"/>
      <c r="AB30" s="145"/>
      <c r="AC30" s="148"/>
      <c r="AD30" s="277"/>
      <c r="AE30" s="295"/>
      <c r="AF30" s="295"/>
      <c r="AG30" s="296"/>
      <c r="AH30" s="296"/>
      <c r="AI30" s="295"/>
      <c r="AJ30" s="297"/>
      <c r="AK30" s="146"/>
      <c r="AL30" s="147">
        <v>34.6</v>
      </c>
      <c r="AM30" s="147">
        <v>316</v>
      </c>
      <c r="AN30" s="89">
        <f t="shared" si="9"/>
        <v>49.111578947368429</v>
      </c>
      <c r="AO30" s="89">
        <f t="shared" si="21"/>
        <v>28.771219135802465</v>
      </c>
      <c r="AP30" s="363">
        <v>167</v>
      </c>
      <c r="AQ30" s="72">
        <f t="shared" ref="AQ30:AQ54" si="22">((AP30-AP$29)*AQ$2)+AQ$29</f>
        <v>11149.453125</v>
      </c>
      <c r="AR30" s="72">
        <f t="shared" si="10"/>
        <v>838.5039473684202</v>
      </c>
      <c r="AS30" s="143">
        <f t="shared" si="11"/>
        <v>34.937664473684173</v>
      </c>
      <c r="AT30" s="72">
        <f t="shared" si="18"/>
        <v>811.13927782773715</v>
      </c>
      <c r="AU30" s="147"/>
      <c r="AV30" s="143">
        <f t="shared" si="19"/>
        <v>544.60756443578009</v>
      </c>
      <c r="AW30" s="433">
        <f t="shared" si="12"/>
        <v>0.59342105263157829</v>
      </c>
      <c r="AX30" s="147"/>
      <c r="AY30" s="147"/>
      <c r="AZ30" s="147"/>
      <c r="BA30" s="147"/>
      <c r="BB30" s="147"/>
      <c r="BC30" s="90"/>
      <c r="BD30" s="91"/>
      <c r="BE30" s="147"/>
      <c r="BF30" s="261"/>
      <c r="BG30" s="146"/>
      <c r="BH30" s="147"/>
      <c r="BI30" s="147"/>
      <c r="BJ30" s="147"/>
      <c r="BK30" s="147"/>
      <c r="BL30" s="78"/>
      <c r="BM30" s="78"/>
      <c r="BN30" s="148"/>
      <c r="BO30" s="149"/>
      <c r="BP30" s="149"/>
      <c r="BQ30" s="149"/>
      <c r="BR30" s="147"/>
      <c r="BS30" s="153"/>
      <c r="BT30" s="147"/>
      <c r="BU30" s="154"/>
      <c r="BV30" s="146"/>
      <c r="BW30" s="147">
        <v>49.5</v>
      </c>
      <c r="BX30" s="147">
        <v>147</v>
      </c>
      <c r="BY30" s="147">
        <v>0</v>
      </c>
      <c r="BZ30" s="147"/>
      <c r="CA30" s="363">
        <v>54</v>
      </c>
      <c r="CB30" s="301">
        <f>((CA30-CA$29)*CB$2)+CB29</f>
        <v>3511.8937500000002</v>
      </c>
      <c r="CC30" s="285">
        <f t="shared" si="13"/>
        <v>387.33552631578948</v>
      </c>
      <c r="CD30" s="289">
        <f t="shared" si="14"/>
        <v>16.138980263157894</v>
      </c>
      <c r="CE30" s="72"/>
      <c r="CF30" s="147"/>
      <c r="CG30" s="143"/>
      <c r="CH30" s="433">
        <f t="shared" si="15"/>
        <v>0.51921652321151401</v>
      </c>
      <c r="CI30" s="147"/>
      <c r="CJ30" s="147"/>
      <c r="CK30" s="147"/>
      <c r="CL30" s="147"/>
      <c r="CM30" s="147"/>
      <c r="CN30" s="68"/>
    </row>
    <row r="31" spans="1:93" s="337" customFormat="1">
      <c r="A31" s="309">
        <f t="shared" si="20"/>
        <v>41186</v>
      </c>
      <c r="B31" s="310">
        <v>0.31944444444444448</v>
      </c>
      <c r="C31" s="311">
        <f t="shared" si="5"/>
        <v>22.166666666666668</v>
      </c>
      <c r="D31" s="379">
        <v>2.4</v>
      </c>
      <c r="E31" s="380">
        <v>86</v>
      </c>
      <c r="F31" s="313"/>
      <c r="G31" s="312"/>
      <c r="H31" s="313"/>
      <c r="I31" s="313"/>
      <c r="J31" s="315"/>
      <c r="K31" s="315"/>
      <c r="L31" s="314"/>
      <c r="M31" s="315">
        <v>78</v>
      </c>
      <c r="N31" s="313">
        <v>78</v>
      </c>
      <c r="O31" s="412">
        <f>(N30-M31)*N$4/(C31)</f>
        <v>1.5865263157894736</v>
      </c>
      <c r="P31" s="425"/>
      <c r="Q31" s="425"/>
      <c r="R31" s="425"/>
      <c r="S31" s="317">
        <v>58</v>
      </c>
      <c r="T31" s="317">
        <v>5</v>
      </c>
      <c r="U31" s="317"/>
      <c r="V31" s="318"/>
      <c r="W31" s="319"/>
      <c r="X31" s="319"/>
      <c r="Y31" s="319"/>
      <c r="Z31" s="319"/>
      <c r="AA31" s="317"/>
      <c r="AB31" s="317"/>
      <c r="AC31" s="320"/>
      <c r="AD31" s="321"/>
      <c r="AE31" s="366"/>
      <c r="AF31" s="366"/>
      <c r="AG31" s="319"/>
      <c r="AH31" s="319"/>
      <c r="AI31" s="366"/>
      <c r="AJ31" s="320"/>
      <c r="AK31" s="318">
        <v>6.83</v>
      </c>
      <c r="AL31" s="319">
        <v>34.5</v>
      </c>
      <c r="AM31" s="319">
        <v>347</v>
      </c>
      <c r="AN31" s="89">
        <f t="shared" si="9"/>
        <v>72.498045112781966</v>
      </c>
      <c r="AO31" s="89">
        <f t="shared" si="21"/>
        <v>19.490180704898442</v>
      </c>
      <c r="AP31" s="319">
        <v>185</v>
      </c>
      <c r="AQ31" s="72">
        <f t="shared" si="22"/>
        <v>12235.696875000001</v>
      </c>
      <c r="AR31" s="72">
        <f t="shared" si="10"/>
        <v>1176.0834586466181</v>
      </c>
      <c r="AS31" s="143">
        <f t="shared" si="11"/>
        <v>49.003477443609086</v>
      </c>
      <c r="AT31" s="72">
        <f t="shared" si="18"/>
        <v>770.7012493143327</v>
      </c>
      <c r="AU31" s="319"/>
      <c r="AV31" s="143">
        <f t="shared" si="19"/>
        <v>517.45704069558121</v>
      </c>
      <c r="AW31" s="433">
        <f t="shared" si="12"/>
        <v>0.83233082706767025</v>
      </c>
      <c r="AX31" s="319">
        <v>67.8</v>
      </c>
      <c r="AY31" s="319">
        <v>27.8</v>
      </c>
      <c r="AZ31" s="319">
        <v>0</v>
      </c>
      <c r="BA31" s="319">
        <v>42</v>
      </c>
      <c r="BB31" s="319">
        <v>340</v>
      </c>
      <c r="BC31" s="338"/>
      <c r="BD31" s="329">
        <v>28</v>
      </c>
      <c r="BE31" s="330">
        <v>28</v>
      </c>
      <c r="BF31" s="316"/>
      <c r="BG31" s="339">
        <v>3.14</v>
      </c>
      <c r="BH31" s="365">
        <v>74.86</v>
      </c>
      <c r="BI31" s="319"/>
      <c r="BJ31" s="319"/>
      <c r="BK31" s="319"/>
      <c r="BL31" s="315"/>
      <c r="BM31" s="315"/>
      <c r="BN31" s="320"/>
      <c r="BO31" s="366"/>
      <c r="BP31" s="366"/>
      <c r="BQ31" s="366"/>
      <c r="BR31" s="319"/>
      <c r="BS31" s="368"/>
      <c r="BT31" s="319"/>
      <c r="BU31" s="332"/>
      <c r="BV31" s="318">
        <v>6.79</v>
      </c>
      <c r="BW31" s="319">
        <v>50.4</v>
      </c>
      <c r="BX31" s="319">
        <v>147</v>
      </c>
      <c r="BY31" s="319"/>
      <c r="BZ31" s="319"/>
      <c r="CA31" s="319">
        <v>59</v>
      </c>
      <c r="CB31" s="301">
        <f t="shared" ref="CB31:CB54" si="23">((CA31-CA$29)*CB$2)+CB$29</f>
        <v>3818.5343750000002</v>
      </c>
      <c r="CC31" s="285">
        <f t="shared" si="13"/>
        <v>332.00187969924809</v>
      </c>
      <c r="CD31" s="289">
        <f t="shared" si="14"/>
        <v>13.833411654135338</v>
      </c>
      <c r="CE31" s="72"/>
      <c r="CF31" s="319"/>
      <c r="CG31" s="143"/>
      <c r="CH31" s="433">
        <f t="shared" si="15"/>
        <v>0.44504273418129769</v>
      </c>
      <c r="CI31" s="319">
        <v>43.5</v>
      </c>
      <c r="CJ31" s="319">
        <v>46</v>
      </c>
      <c r="CK31" s="319">
        <v>0</v>
      </c>
      <c r="CL31" s="319">
        <v>15.1</v>
      </c>
      <c r="CM31" s="319">
        <v>1010</v>
      </c>
      <c r="CN31" s="336"/>
    </row>
    <row r="32" spans="1:93">
      <c r="A32" s="141">
        <f t="shared" ref="A32:A78" si="24">A31+1</f>
        <v>41187</v>
      </c>
      <c r="B32" s="307">
        <v>0.3611111111111111</v>
      </c>
      <c r="C32" s="304">
        <f t="shared" si="5"/>
        <v>24.999999999999996</v>
      </c>
      <c r="D32" s="70"/>
      <c r="E32" s="71"/>
      <c r="F32" s="72"/>
      <c r="G32" s="71"/>
      <c r="H32" s="72"/>
      <c r="I32" s="72"/>
      <c r="J32" s="256"/>
      <c r="K32" s="256"/>
      <c r="L32" s="73"/>
      <c r="M32" s="256">
        <v>75</v>
      </c>
      <c r="N32" s="72">
        <v>85</v>
      </c>
      <c r="O32" s="115">
        <f>(N31-M32)*N$4/(C32)</f>
        <v>0.60288000000000008</v>
      </c>
      <c r="P32" s="425"/>
      <c r="Q32" s="425"/>
      <c r="R32" s="425"/>
      <c r="S32" s="86"/>
      <c r="T32" s="86"/>
      <c r="U32" s="86"/>
      <c r="V32" s="65"/>
      <c r="W32" s="66"/>
      <c r="X32" s="66"/>
      <c r="Y32" s="66"/>
      <c r="Z32" s="66"/>
      <c r="AA32" s="86"/>
      <c r="AB32" s="86"/>
      <c r="AC32" s="63"/>
      <c r="AD32" s="298"/>
      <c r="AE32" s="298"/>
      <c r="AF32" s="298"/>
      <c r="AG32" s="293"/>
      <c r="AH32" s="293"/>
      <c r="AI32" s="298"/>
      <c r="AJ32" s="299"/>
      <c r="AK32" s="65"/>
      <c r="AL32" s="66">
        <v>34.6</v>
      </c>
      <c r="AM32" s="66">
        <v>371</v>
      </c>
      <c r="AN32" s="89">
        <f t="shared" si="9"/>
        <v>49.766400000000012</v>
      </c>
      <c r="AO32" s="89">
        <f t="shared" si="21"/>
        <v>28.392650462962955</v>
      </c>
      <c r="AP32" s="66">
        <v>209</v>
      </c>
      <c r="AQ32" s="72">
        <f t="shared" si="22"/>
        <v>13684.021875</v>
      </c>
      <c r="AR32" s="72">
        <f t="shared" si="10"/>
        <v>1390.3919999999991</v>
      </c>
      <c r="AS32" s="143">
        <f t="shared" si="11"/>
        <v>57.932999999999964</v>
      </c>
      <c r="AT32" s="72">
        <f>AR32/(AN32*(AVERAGE(D$13,D$18,D$23,D$31))*AVERAGE(E$13,E$18,E$23,E$31)*0.0001)</f>
        <v>1326.0342700269659</v>
      </c>
      <c r="AU32" s="66"/>
      <c r="AV32" s="143">
        <f>AR32/(AN32*AVERAGE(D$18,D$23,D$31)*0.01)</f>
        <v>966.72553825451655</v>
      </c>
      <c r="AW32" s="433">
        <f t="shared" si="12"/>
        <v>0.98399999999999943</v>
      </c>
      <c r="AX32" s="66"/>
      <c r="AY32" s="66"/>
      <c r="AZ32" s="66"/>
      <c r="BA32" s="66"/>
      <c r="BB32" s="66"/>
      <c r="BC32" s="90"/>
      <c r="BD32" s="91"/>
      <c r="BE32" s="147"/>
      <c r="BF32" s="261"/>
      <c r="BG32" s="65"/>
      <c r="BH32" s="66"/>
      <c r="BI32" s="66"/>
      <c r="BJ32" s="66"/>
      <c r="BK32" s="66"/>
      <c r="BL32" s="256"/>
      <c r="BM32" s="256"/>
      <c r="BN32" s="63"/>
      <c r="BO32" s="87"/>
      <c r="BP32" s="87"/>
      <c r="BQ32" s="87"/>
      <c r="BR32" s="66"/>
      <c r="BS32" s="64"/>
      <c r="BT32" s="66"/>
      <c r="BU32" s="67"/>
      <c r="BV32" s="65"/>
      <c r="BW32" s="66">
        <v>50.5</v>
      </c>
      <c r="BX32" s="66">
        <v>147</v>
      </c>
      <c r="BY32" s="66"/>
      <c r="BZ32" s="66"/>
      <c r="CA32" s="66">
        <v>65</v>
      </c>
      <c r="CB32" s="301">
        <f t="shared" si="23"/>
        <v>4186.5031250000002</v>
      </c>
      <c r="CC32" s="285">
        <f t="shared" si="13"/>
        <v>353.25000000000006</v>
      </c>
      <c r="CD32" s="289">
        <f t="shared" si="14"/>
        <v>14.718750000000002</v>
      </c>
      <c r="CE32" s="72"/>
      <c r="CF32" s="66"/>
      <c r="CG32" s="143"/>
      <c r="CH32" s="433">
        <f t="shared" si="15"/>
        <v>0.47352546916890087</v>
      </c>
      <c r="CI32" s="66"/>
      <c r="CJ32" s="66"/>
      <c r="CK32" s="66"/>
      <c r="CL32" s="66"/>
      <c r="CM32" s="66"/>
      <c r="CN32" s="68"/>
    </row>
    <row r="33" spans="1:93">
      <c r="A33" s="141">
        <f t="shared" si="24"/>
        <v>41188</v>
      </c>
      <c r="B33" s="307">
        <v>0.375</v>
      </c>
      <c r="C33" s="304">
        <f t="shared" si="5"/>
        <v>24.333333333333332</v>
      </c>
      <c r="D33" s="70"/>
      <c r="E33" s="71"/>
      <c r="F33" s="72"/>
      <c r="G33" s="71"/>
      <c r="H33" s="72"/>
      <c r="I33" s="72"/>
      <c r="J33" s="256"/>
      <c r="K33" s="256"/>
      <c r="L33" s="73"/>
      <c r="M33" s="256"/>
      <c r="N33" s="72"/>
      <c r="O33" s="261"/>
      <c r="P33" s="425"/>
      <c r="Q33" s="425"/>
      <c r="R33" s="425"/>
      <c r="S33" s="86"/>
      <c r="T33" s="86"/>
      <c r="U33" s="86"/>
      <c r="V33" s="65"/>
      <c r="W33" s="66"/>
      <c r="X33" s="66"/>
      <c r="Y33" s="66"/>
      <c r="Z33" s="66"/>
      <c r="AA33" s="86"/>
      <c r="AB33" s="86"/>
      <c r="AC33" s="63"/>
      <c r="AD33" s="298"/>
      <c r="AE33" s="298"/>
      <c r="AF33" s="298"/>
      <c r="AG33" s="293"/>
      <c r="AH33" s="293"/>
      <c r="AI33" s="298"/>
      <c r="AJ33" s="299"/>
      <c r="AK33" s="65"/>
      <c r="AL33" s="66">
        <v>34.6</v>
      </c>
      <c r="AM33" s="66">
        <v>398</v>
      </c>
      <c r="AN33" s="89">
        <f t="shared" si="9"/>
        <v>57.521095890410969</v>
      </c>
      <c r="AO33" s="89">
        <f t="shared" si="21"/>
        <v>24.564900548696841</v>
      </c>
      <c r="AP33" s="66">
        <v>234</v>
      </c>
      <c r="AQ33" s="72">
        <f t="shared" si="22"/>
        <v>15192.693750000002</v>
      </c>
      <c r="AR33" s="72">
        <f t="shared" si="10"/>
        <v>1488.0051369863033</v>
      </c>
      <c r="AS33" s="143">
        <f t="shared" si="11"/>
        <v>62.000214041095965</v>
      </c>
      <c r="AT33" s="72">
        <f>AR33/(AN33*(AVERAGE(D$13,D$18,D$23,D$31))*AVERAGE(E$13,E$18,E$23,E$31)*0.0001)</f>
        <v>1227.80950928423</v>
      </c>
      <c r="AU33" s="66"/>
      <c r="AV33" s="143">
        <f>AR33/(AN33*AVERAGE(D$18,D$23,D$31)*0.01)</f>
        <v>895.11623912455411</v>
      </c>
      <c r="AW33" s="433">
        <f t="shared" si="12"/>
        <v>1.0530821917808233</v>
      </c>
      <c r="AX33" s="66"/>
      <c r="AY33" s="66"/>
      <c r="AZ33" s="66"/>
      <c r="BA33" s="66"/>
      <c r="BB33" s="66"/>
      <c r="BC33" s="90"/>
      <c r="BD33" s="91"/>
      <c r="BE33" s="147"/>
      <c r="BF33" s="261"/>
      <c r="BG33" s="65"/>
      <c r="BH33" s="66"/>
      <c r="BI33" s="66"/>
      <c r="BJ33" s="66"/>
      <c r="BK33" s="66"/>
      <c r="BL33" s="256"/>
      <c r="BM33" s="256"/>
      <c r="BN33" s="63"/>
      <c r="BO33" s="87"/>
      <c r="BP33" s="87"/>
      <c r="BQ33" s="87"/>
      <c r="BR33" s="66"/>
      <c r="BS33" s="64"/>
      <c r="BT33" s="66"/>
      <c r="BU33" s="67"/>
      <c r="BV33" s="65"/>
      <c r="BW33" s="66">
        <v>50.5</v>
      </c>
      <c r="BX33" s="66">
        <v>147</v>
      </c>
      <c r="BY33" s="66"/>
      <c r="BZ33" s="66"/>
      <c r="CA33" s="66">
        <v>71</v>
      </c>
      <c r="CB33" s="301">
        <f t="shared" si="23"/>
        <v>4554.4718750000002</v>
      </c>
      <c r="CC33" s="285">
        <f t="shared" si="13"/>
        <v>362.92808219178085</v>
      </c>
      <c r="CD33" s="289">
        <f t="shared" si="14"/>
        <v>15.122003424657535</v>
      </c>
      <c r="CE33" s="72"/>
      <c r="CF33" s="66"/>
      <c r="CG33" s="143"/>
      <c r="CH33" s="433">
        <f t="shared" si="15"/>
        <v>0.48649876969407618</v>
      </c>
      <c r="CI33" s="66"/>
      <c r="CJ33" s="66"/>
      <c r="CK33" s="66"/>
      <c r="CL33" s="66"/>
      <c r="CM33" s="66"/>
      <c r="CN33" s="68"/>
    </row>
    <row r="34" spans="1:93" s="69" customFormat="1">
      <c r="A34" s="141">
        <f t="shared" si="24"/>
        <v>41189</v>
      </c>
      <c r="B34" s="307">
        <v>0.375</v>
      </c>
      <c r="C34" s="304">
        <f t="shared" si="5"/>
        <v>24</v>
      </c>
      <c r="D34" s="70"/>
      <c r="E34" s="71"/>
      <c r="F34" s="72"/>
      <c r="G34" s="71"/>
      <c r="H34" s="72"/>
      <c r="I34" s="72"/>
      <c r="J34" s="256"/>
      <c r="K34" s="256"/>
      <c r="L34" s="84"/>
      <c r="M34" s="258"/>
      <c r="N34" s="85"/>
      <c r="O34" s="261"/>
      <c r="P34" s="428"/>
      <c r="Q34" s="428"/>
      <c r="R34" s="428"/>
      <c r="S34" s="86"/>
      <c r="T34" s="86"/>
      <c r="U34" s="86"/>
      <c r="V34" s="65"/>
      <c r="W34" s="66"/>
      <c r="X34" s="72"/>
      <c r="Y34" s="66"/>
      <c r="Z34" s="72"/>
      <c r="AA34" s="256"/>
      <c r="AB34" s="256"/>
      <c r="AC34" s="63"/>
      <c r="AD34" s="93"/>
      <c r="AE34" s="83"/>
      <c r="AF34" s="88"/>
      <c r="AG34" s="85"/>
      <c r="AH34" s="71"/>
      <c r="AI34" s="83"/>
      <c r="AJ34" s="89"/>
      <c r="AK34" s="65"/>
      <c r="AL34" s="66">
        <v>34.6</v>
      </c>
      <c r="AM34" s="66">
        <v>426</v>
      </c>
      <c r="AN34" s="89">
        <f t="shared" si="9"/>
        <v>60.480000000000004</v>
      </c>
      <c r="AO34" s="89">
        <f t="shared" si="21"/>
        <v>23.363095238095237</v>
      </c>
      <c r="AP34" s="160">
        <v>256</v>
      </c>
      <c r="AQ34" s="72">
        <f t="shared" si="22"/>
        <v>16520.325000000001</v>
      </c>
      <c r="AR34" s="72">
        <f t="shared" si="10"/>
        <v>1327.6312499999985</v>
      </c>
      <c r="AS34" s="143">
        <f t="shared" si="11"/>
        <v>55.317968749999942</v>
      </c>
      <c r="AT34" s="72">
        <f>AR34/(AN34*(AVERAGE(D$13,D$18,D$23,D$31))*AVERAGE(E$13,E$18,E$23,E$31)*0.0001)</f>
        <v>1041.8840693069014</v>
      </c>
      <c r="AU34" s="85"/>
      <c r="AV34" s="143">
        <f>AR34/(AN34*AVERAGE(D$18,D$23,D$31)*0.01)</f>
        <v>759.57006577140578</v>
      </c>
      <c r="AW34" s="433">
        <f t="shared" si="12"/>
        <v>0.93958333333333233</v>
      </c>
      <c r="AX34" s="66"/>
      <c r="AY34" s="66"/>
      <c r="AZ34" s="66"/>
      <c r="BA34" s="66"/>
      <c r="BB34" s="66"/>
      <c r="BC34" s="90"/>
      <c r="BD34" s="91"/>
      <c r="BE34" s="147"/>
      <c r="BF34" s="261"/>
      <c r="BG34" s="65"/>
      <c r="BH34" s="66"/>
      <c r="BI34" s="72"/>
      <c r="BJ34" s="66"/>
      <c r="BK34" s="72"/>
      <c r="BL34" s="256"/>
      <c r="BM34" s="256"/>
      <c r="BN34" s="63"/>
      <c r="BO34" s="93"/>
      <c r="BP34" s="83"/>
      <c r="BQ34" s="88"/>
      <c r="BR34" s="85"/>
      <c r="BS34" s="92"/>
      <c r="BT34" s="71"/>
      <c r="BU34" s="93"/>
      <c r="BV34" s="65"/>
      <c r="BW34" s="66">
        <v>50.5</v>
      </c>
      <c r="BX34" s="66">
        <v>147</v>
      </c>
      <c r="BY34" s="66"/>
      <c r="BZ34" s="66"/>
      <c r="CA34" s="66">
        <v>84</v>
      </c>
      <c r="CB34" s="301">
        <f t="shared" si="23"/>
        <v>5351.7375000000002</v>
      </c>
      <c r="CC34" s="285">
        <f t="shared" si="13"/>
        <v>797.265625</v>
      </c>
      <c r="CD34" s="289">
        <f t="shared" si="14"/>
        <v>33.219401041666664</v>
      </c>
      <c r="CE34" s="72"/>
      <c r="CF34" s="85"/>
      <c r="CG34" s="143"/>
      <c r="CH34" s="433">
        <f t="shared" si="15"/>
        <v>1.0687206769436997</v>
      </c>
      <c r="CI34" s="66"/>
      <c r="CJ34" s="66"/>
      <c r="CK34" s="66"/>
      <c r="CL34" s="66"/>
      <c r="CM34" s="66"/>
      <c r="CN34" s="68"/>
    </row>
    <row r="35" spans="1:93" s="337" customFormat="1" ht="42.75">
      <c r="A35" s="309">
        <f>A34+1</f>
        <v>41190</v>
      </c>
      <c r="B35" s="310">
        <v>0.3263888888888889</v>
      </c>
      <c r="C35" s="395">
        <f>((A35-A34)+(B35-B34))*24</f>
        <v>22.833333333333332</v>
      </c>
      <c r="D35" s="383">
        <v>3.28</v>
      </c>
      <c r="E35" s="380">
        <v>76.8</v>
      </c>
      <c r="F35" s="313"/>
      <c r="G35" s="312"/>
      <c r="H35" s="313"/>
      <c r="I35" s="313"/>
      <c r="J35" s="315"/>
      <c r="K35" s="315"/>
      <c r="L35" s="373"/>
      <c r="M35" s="315">
        <v>70</v>
      </c>
      <c r="N35" s="313">
        <v>80</v>
      </c>
      <c r="O35" s="412">
        <f>(N32-M35)*N$4/(C35+C34+C33)</f>
        <v>1.0589227166276347</v>
      </c>
      <c r="P35" s="428"/>
      <c r="Q35" s="428"/>
      <c r="R35" s="428"/>
      <c r="S35" s="317">
        <v>60</v>
      </c>
      <c r="T35" s="317">
        <v>5</v>
      </c>
      <c r="U35" s="317"/>
      <c r="V35" s="339">
        <v>2.37</v>
      </c>
      <c r="W35" s="365">
        <v>71.2</v>
      </c>
      <c r="X35" s="313"/>
      <c r="Y35" s="319"/>
      <c r="Z35" s="313"/>
      <c r="AA35" s="315"/>
      <c r="AB35" s="315"/>
      <c r="AC35" s="320"/>
      <c r="AD35" s="366"/>
      <c r="AE35" s="366"/>
      <c r="AF35" s="374"/>
      <c r="AG35" s="367"/>
      <c r="AH35" s="312"/>
      <c r="AI35" s="372"/>
      <c r="AJ35" s="327"/>
      <c r="AK35" s="313">
        <v>6.9</v>
      </c>
      <c r="AL35" s="377">
        <v>31.1</v>
      </c>
      <c r="AM35" s="313">
        <v>455</v>
      </c>
      <c r="AN35" s="89">
        <f t="shared" si="9"/>
        <v>65.840583941605843</v>
      </c>
      <c r="AO35" s="89">
        <f t="shared" si="21"/>
        <v>21.460927522349934</v>
      </c>
      <c r="AP35" s="313">
        <v>277</v>
      </c>
      <c r="AQ35" s="72">
        <f t="shared" si="22"/>
        <v>17787.609375</v>
      </c>
      <c r="AR35" s="72">
        <f t="shared" si="10"/>
        <v>1332.0361313868607</v>
      </c>
      <c r="AS35" s="143">
        <f t="shared" si="11"/>
        <v>55.501505474452529</v>
      </c>
      <c r="AT35" s="72">
        <f>AR35/(AN35*(AVERAGE(D$13,D$18,D$23,D$31))*AVERAGE(E$13,E$18,E$23,E$31)*0.0001)</f>
        <v>960.23171277814799</v>
      </c>
      <c r="AU35" s="313">
        <f>(AQ35-AQ31)/(AVERAGE(AN31:AN35)*((AVERAGE(D31,D23,D18)*AVERAGE(E31,E23,E18))-(V35*W35))*0.0001*(SUM(C31:C35)/24))</f>
        <v>3311.8154127155813</v>
      </c>
      <c r="AV35" s="143">
        <f>AR35/(AN35*AVERAGE(D$18,D$23,D$31)*0.01)</f>
        <v>700.04263114982268</v>
      </c>
      <c r="AW35" s="433">
        <f t="shared" si="12"/>
        <v>0.94270072992700682</v>
      </c>
      <c r="AX35" s="313">
        <v>67.5</v>
      </c>
      <c r="AY35" s="313">
        <v>26.3</v>
      </c>
      <c r="AZ35" s="313">
        <v>0</v>
      </c>
      <c r="BA35" s="313">
        <v>140</v>
      </c>
      <c r="BB35" s="313">
        <v>530</v>
      </c>
      <c r="BC35" s="338" t="s">
        <v>98</v>
      </c>
      <c r="BD35" s="329">
        <v>28</v>
      </c>
      <c r="BE35" s="330">
        <v>28</v>
      </c>
      <c r="BF35" s="316"/>
      <c r="BG35" s="339">
        <v>2.29</v>
      </c>
      <c r="BH35" s="365">
        <v>68.37</v>
      </c>
      <c r="BI35" s="313"/>
      <c r="BJ35" s="319"/>
      <c r="BK35" s="313"/>
      <c r="BL35" s="315"/>
      <c r="BM35" s="315"/>
      <c r="BN35" s="320"/>
      <c r="BO35" s="366"/>
      <c r="BP35" s="366"/>
      <c r="BQ35" s="374"/>
      <c r="BR35" s="367"/>
      <c r="BS35" s="375"/>
      <c r="BT35" s="312"/>
      <c r="BU35" s="376"/>
      <c r="BV35" s="318">
        <v>6.98</v>
      </c>
      <c r="BW35" s="365">
        <v>45.3</v>
      </c>
      <c r="BX35" s="319">
        <v>147</v>
      </c>
      <c r="BY35" s="319"/>
      <c r="BZ35" s="319"/>
      <c r="CA35" s="319">
        <v>108</v>
      </c>
      <c r="CB35" s="301">
        <f t="shared" si="23"/>
        <v>6823.6125000000002</v>
      </c>
      <c r="CC35" s="285">
        <f t="shared" si="13"/>
        <v>1547.080291970803</v>
      </c>
      <c r="CD35" s="289">
        <f t="shared" si="14"/>
        <v>64.461678832116789</v>
      </c>
      <c r="CE35" s="72"/>
      <c r="CF35" s="72"/>
      <c r="CG35" s="143"/>
      <c r="CH35" s="433">
        <f t="shared" si="15"/>
        <v>2.0738341715426314</v>
      </c>
      <c r="CI35" s="319">
        <v>69.5</v>
      </c>
      <c r="CJ35" s="319">
        <v>26.7</v>
      </c>
      <c r="CK35" s="319">
        <v>0</v>
      </c>
      <c r="CL35" s="319">
        <v>109</v>
      </c>
      <c r="CM35" s="319">
        <v>715</v>
      </c>
      <c r="CN35" s="336" t="s">
        <v>92</v>
      </c>
    </row>
    <row r="36" spans="1:93" s="69" customFormat="1">
      <c r="A36" s="378">
        <f t="shared" si="24"/>
        <v>41191</v>
      </c>
      <c r="B36" s="307">
        <v>0.3263888888888889</v>
      </c>
      <c r="C36" s="396">
        <f t="shared" si="5"/>
        <v>24</v>
      </c>
      <c r="D36" s="83"/>
      <c r="E36" s="71"/>
      <c r="F36" s="72"/>
      <c r="G36" s="71"/>
      <c r="H36" s="72"/>
      <c r="I36" s="72"/>
      <c r="J36" s="256"/>
      <c r="K36" s="256"/>
      <c r="L36" s="73"/>
      <c r="M36" s="256">
        <v>80</v>
      </c>
      <c r="N36" s="72">
        <v>80</v>
      </c>
      <c r="O36" s="115">
        <f>(N35-M36)*N$4/(C36)</f>
        <v>0</v>
      </c>
      <c r="P36" s="425"/>
      <c r="Q36" s="425"/>
      <c r="R36" s="425"/>
      <c r="S36" s="86"/>
      <c r="T36" s="86"/>
      <c r="U36" s="86"/>
      <c r="V36" s="65"/>
      <c r="W36" s="66"/>
      <c r="X36" s="72"/>
      <c r="Y36" s="66"/>
      <c r="Z36" s="72"/>
      <c r="AA36" s="256"/>
      <c r="AB36" s="256"/>
      <c r="AC36" s="63"/>
      <c r="AD36" s="93"/>
      <c r="AE36" s="83"/>
      <c r="AF36" s="88"/>
      <c r="AG36" s="85"/>
      <c r="AH36" s="71"/>
      <c r="AI36" s="83"/>
      <c r="AJ36" s="89"/>
      <c r="AK36" s="65"/>
      <c r="AL36" s="66">
        <v>34.6</v>
      </c>
      <c r="AM36" s="66">
        <v>484</v>
      </c>
      <c r="AN36" s="89">
        <f t="shared" si="9"/>
        <v>62.64</v>
      </c>
      <c r="AO36" s="89">
        <f t="shared" si="21"/>
        <v>22.557471264367816</v>
      </c>
      <c r="AP36" s="66">
        <v>296</v>
      </c>
      <c r="AQ36" s="72">
        <f t="shared" si="22"/>
        <v>18934.2</v>
      </c>
      <c r="AR36" s="72">
        <f t="shared" si="10"/>
        <v>1146.5906250000007</v>
      </c>
      <c r="AS36" s="143">
        <f t="shared" si="11"/>
        <v>47.774609375000033</v>
      </c>
      <c r="AT36" s="72">
        <f t="shared" ref="AT36:AT43" si="25">AR36/(AN36*(AVERAGE(D$13,D$18,D$23,D$31,D$35))*AVERAGE(E$13,E$18,E$23,E$31,E$35)*0.0001)</f>
        <v>836.30269560185775</v>
      </c>
      <c r="AU36" s="85"/>
      <c r="AV36" s="143">
        <f t="shared" ref="AV36:AV43" si="26">AR36/(AN36*AVERAGE(D$23,D$31,D$35)*0.01)</f>
        <v>637.78564586754294</v>
      </c>
      <c r="AW36" s="433">
        <f t="shared" si="12"/>
        <v>0.81145833333333384</v>
      </c>
      <c r="AX36" s="66"/>
      <c r="AY36" s="66"/>
      <c r="AZ36" s="66"/>
      <c r="BA36" s="66"/>
      <c r="BB36" s="163"/>
      <c r="BC36" s="86"/>
      <c r="BD36" s="91"/>
      <c r="BE36" s="147"/>
      <c r="BF36" s="261"/>
      <c r="BG36" s="65"/>
      <c r="BH36" s="66"/>
      <c r="BI36" s="72"/>
      <c r="BJ36" s="66"/>
      <c r="BK36" s="72"/>
      <c r="BL36" s="256"/>
      <c r="BM36" s="256"/>
      <c r="BN36" s="63"/>
      <c r="BO36" s="93"/>
      <c r="BP36" s="83"/>
      <c r="BQ36" s="88"/>
      <c r="BR36" s="85"/>
      <c r="BS36" s="92"/>
      <c r="BT36" s="71"/>
      <c r="BU36" s="93"/>
      <c r="BV36" s="65"/>
      <c r="BW36" s="66">
        <v>50.4</v>
      </c>
      <c r="BX36" s="66">
        <v>152</v>
      </c>
      <c r="BY36" s="422">
        <f t="shared" ref="BY36:BY51" si="27">(BX36-BX35)*CB$1/((C36)/24)</f>
        <v>10</v>
      </c>
      <c r="BZ36" s="280">
        <f t="shared" ref="BZ36:BZ46" si="28">CB$3/BY36</f>
        <v>74.599999999999994</v>
      </c>
      <c r="CA36" s="66">
        <v>139</v>
      </c>
      <c r="CB36" s="301">
        <f t="shared" si="23"/>
        <v>8724.7843749999993</v>
      </c>
      <c r="CC36" s="285">
        <f t="shared" si="13"/>
        <v>1901.1718749999991</v>
      </c>
      <c r="CD36" s="289">
        <f t="shared" si="14"/>
        <v>79.215494791666629</v>
      </c>
      <c r="CE36" s="421"/>
      <c r="CF36" s="85"/>
      <c r="CG36" s="421"/>
      <c r="CH36" s="433">
        <f t="shared" si="15"/>
        <v>2.5484877680965137</v>
      </c>
      <c r="CI36" s="66"/>
      <c r="CJ36" s="66"/>
      <c r="CK36" s="66"/>
      <c r="CL36" s="66"/>
      <c r="CM36" s="163"/>
      <c r="CN36" s="68"/>
    </row>
    <row r="37" spans="1:93">
      <c r="A37" s="378">
        <f t="shared" si="24"/>
        <v>41192</v>
      </c>
      <c r="B37" s="307">
        <v>0.3263888888888889</v>
      </c>
      <c r="C37" s="304">
        <f t="shared" si="5"/>
        <v>24</v>
      </c>
      <c r="D37" s="70"/>
      <c r="E37" s="71"/>
      <c r="F37" s="71"/>
      <c r="G37" s="71"/>
      <c r="H37" s="72"/>
      <c r="I37" s="72"/>
      <c r="J37" s="256"/>
      <c r="K37" s="256"/>
      <c r="L37" s="73"/>
      <c r="M37" s="256"/>
      <c r="N37" s="72"/>
      <c r="O37" s="115"/>
      <c r="P37" s="425"/>
      <c r="Q37" s="425"/>
      <c r="R37" s="425"/>
      <c r="S37" s="86"/>
      <c r="T37" s="86"/>
      <c r="U37" s="86"/>
      <c r="V37" s="65"/>
      <c r="W37" s="66"/>
      <c r="X37" s="66"/>
      <c r="Y37" s="66"/>
      <c r="Z37" s="66"/>
      <c r="AA37" s="86"/>
      <c r="AB37" s="86"/>
      <c r="AC37" s="63"/>
      <c r="AD37" s="87"/>
      <c r="AE37" s="87"/>
      <c r="AF37" s="88"/>
      <c r="AG37" s="85"/>
      <c r="AH37" s="66"/>
      <c r="AI37" s="87"/>
      <c r="AJ37" s="63"/>
      <c r="AK37" s="65"/>
      <c r="AL37" s="66">
        <v>34.6</v>
      </c>
      <c r="AM37" s="66">
        <v>511</v>
      </c>
      <c r="AN37" s="89">
        <f t="shared" si="9"/>
        <v>58.320000000000007</v>
      </c>
      <c r="AO37" s="89">
        <f t="shared" si="21"/>
        <v>24.228395061728392</v>
      </c>
      <c r="AP37" s="66">
        <v>314</v>
      </c>
      <c r="AQ37" s="72">
        <f t="shared" si="22"/>
        <v>20020.443750000002</v>
      </c>
      <c r="AR37" s="72">
        <f t="shared" si="10"/>
        <v>1086.2437500000015</v>
      </c>
      <c r="AS37" s="143">
        <f t="shared" si="11"/>
        <v>45.260156250000058</v>
      </c>
      <c r="AT37" s="72">
        <f t="shared" si="25"/>
        <v>850.97467271768028</v>
      </c>
      <c r="AU37" s="66"/>
      <c r="AV37" s="143">
        <f t="shared" si="26"/>
        <v>648.97486772486866</v>
      </c>
      <c r="AW37" s="433">
        <f t="shared" si="12"/>
        <v>0.76875000000000104</v>
      </c>
      <c r="AX37" s="66"/>
      <c r="AY37" s="66"/>
      <c r="AZ37" s="66"/>
      <c r="BA37" s="66"/>
      <c r="BB37" s="163"/>
      <c r="BC37" s="94"/>
      <c r="BD37" s="91"/>
      <c r="BE37" s="147"/>
      <c r="BF37" s="261"/>
      <c r="BG37" s="65"/>
      <c r="BH37" s="66"/>
      <c r="BI37" s="66"/>
      <c r="BJ37" s="66"/>
      <c r="BK37" s="66"/>
      <c r="BL37" s="256"/>
      <c r="BM37" s="256"/>
      <c r="BN37" s="63"/>
      <c r="BO37" s="87"/>
      <c r="BP37" s="87"/>
      <c r="BQ37" s="88"/>
      <c r="BR37" s="85"/>
      <c r="BS37" s="64"/>
      <c r="BT37" s="66"/>
      <c r="BU37" s="67"/>
      <c r="BV37" s="65"/>
      <c r="BW37" s="66">
        <v>50.4</v>
      </c>
      <c r="BX37" s="66">
        <v>161</v>
      </c>
      <c r="BY37" s="422">
        <f t="shared" si="27"/>
        <v>18</v>
      </c>
      <c r="BZ37" s="280">
        <f t="shared" si="28"/>
        <v>41.444444444444443</v>
      </c>
      <c r="CA37" s="66">
        <v>157</v>
      </c>
      <c r="CB37" s="301">
        <f t="shared" si="23"/>
        <v>9828.6906249999993</v>
      </c>
      <c r="CC37" s="285">
        <f t="shared" si="13"/>
        <v>1103.90625</v>
      </c>
      <c r="CD37" s="289">
        <f t="shared" si="14"/>
        <v>45.99609375</v>
      </c>
      <c r="CE37" s="421">
        <f>CC37/(BY37*(AVERAGE(D$13,D$18,D$23,D$31,D$35))*AVERAGE(E$13,E$18,E$23,E$31,E$35)*0.0001)</f>
        <v>2801.9897760216268</v>
      </c>
      <c r="CF37" s="66"/>
      <c r="CG37" s="421">
        <f>CC37/(BY37*AVERAGE(D$23,D$31,D$35)*0.01)</f>
        <v>2136.8684668989549</v>
      </c>
      <c r="CH37" s="433">
        <f t="shared" si="15"/>
        <v>1.4797670911528149</v>
      </c>
      <c r="CI37" s="66"/>
      <c r="CJ37" s="66"/>
      <c r="CK37" s="66"/>
      <c r="CL37" s="66"/>
      <c r="CM37" s="163"/>
      <c r="CN37" s="68"/>
    </row>
    <row r="38" spans="1:93" ht="28.5">
      <c r="A38" s="378">
        <f t="shared" si="24"/>
        <v>41193</v>
      </c>
      <c r="B38" s="307">
        <v>0.3263888888888889</v>
      </c>
      <c r="C38" s="304">
        <f t="shared" si="5"/>
        <v>24</v>
      </c>
      <c r="D38" s="70"/>
      <c r="E38" s="71"/>
      <c r="F38" s="71"/>
      <c r="G38" s="71"/>
      <c r="H38" s="71"/>
      <c r="I38" s="71"/>
      <c r="J38" s="437"/>
      <c r="K38" s="437"/>
      <c r="L38" s="95"/>
      <c r="M38" s="256">
        <v>60</v>
      </c>
      <c r="N38" s="72">
        <v>85</v>
      </c>
      <c r="O38" s="115">
        <f>(N36-M38)*N$4/(C38+C37)</f>
        <v>2.0933333333333333</v>
      </c>
      <c r="P38" s="429"/>
      <c r="Q38" s="429"/>
      <c r="R38" s="429"/>
      <c r="S38" s="86">
        <v>60</v>
      </c>
      <c r="T38" s="86">
        <v>5</v>
      </c>
      <c r="U38" s="86"/>
      <c r="V38" s="65"/>
      <c r="W38" s="66"/>
      <c r="X38" s="66"/>
      <c r="Y38" s="66"/>
      <c r="Z38" s="66"/>
      <c r="AA38" s="86"/>
      <c r="AB38" s="86"/>
      <c r="AC38" s="63"/>
      <c r="AD38" s="87"/>
      <c r="AE38" s="87"/>
      <c r="AF38" s="88"/>
      <c r="AG38" s="85"/>
      <c r="AH38" s="66"/>
      <c r="AI38" s="87"/>
      <c r="AJ38" s="63"/>
      <c r="AK38" s="65">
        <v>6.88</v>
      </c>
      <c r="AL38" s="364">
        <v>31.7</v>
      </c>
      <c r="AM38" s="66">
        <v>537</v>
      </c>
      <c r="AN38" s="89">
        <f t="shared" si="9"/>
        <v>56.160000000000004</v>
      </c>
      <c r="AO38" s="89">
        <f t="shared" ref="AO38:AO51" si="29">AQ$3/AN38</f>
        <v>25.160256410256409</v>
      </c>
      <c r="AP38" s="66">
        <v>333</v>
      </c>
      <c r="AQ38" s="72">
        <f t="shared" si="22"/>
        <v>21167.034375000003</v>
      </c>
      <c r="AR38" s="72">
        <f t="shared" si="10"/>
        <v>1146.5906250000007</v>
      </c>
      <c r="AS38" s="143">
        <f t="shared" si="11"/>
        <v>47.774609375000033</v>
      </c>
      <c r="AT38" s="72">
        <f t="shared" si="25"/>
        <v>932.79916047899508</v>
      </c>
      <c r="AU38" s="66"/>
      <c r="AV38" s="143">
        <f t="shared" si="26"/>
        <v>711.37629731379786</v>
      </c>
      <c r="AW38" s="433">
        <f t="shared" si="12"/>
        <v>0.81145833333333384</v>
      </c>
      <c r="AX38" s="66"/>
      <c r="AY38" s="66"/>
      <c r="AZ38" s="66"/>
      <c r="BA38" s="66"/>
      <c r="BB38" s="163"/>
      <c r="BC38" s="86"/>
      <c r="BD38" s="91">
        <v>29</v>
      </c>
      <c r="BE38" s="147">
        <v>10</v>
      </c>
      <c r="BF38" s="261"/>
      <c r="BG38" s="65"/>
      <c r="BH38" s="66"/>
      <c r="BI38" s="66"/>
      <c r="BJ38" s="66"/>
      <c r="BK38" s="66"/>
      <c r="BL38" s="437"/>
      <c r="BM38" s="437"/>
      <c r="BN38" s="63"/>
      <c r="BO38" s="87"/>
      <c r="BP38" s="87"/>
      <c r="BQ38" s="88"/>
      <c r="BR38" s="85"/>
      <c r="BS38" s="64"/>
      <c r="BT38" s="66"/>
      <c r="BU38" s="67"/>
      <c r="BV38" s="65">
        <v>7.19</v>
      </c>
      <c r="BW38" s="364">
        <v>44.7</v>
      </c>
      <c r="BX38" s="66">
        <v>162</v>
      </c>
      <c r="BY38" s="422">
        <f t="shared" si="27"/>
        <v>2</v>
      </c>
      <c r="BZ38" s="280">
        <f t="shared" si="28"/>
        <v>373</v>
      </c>
      <c r="CA38" s="66">
        <v>164</v>
      </c>
      <c r="CB38" s="301">
        <f t="shared" si="23"/>
        <v>10257.987499999999</v>
      </c>
      <c r="CC38" s="285">
        <f t="shared" si="13"/>
        <v>429.296875</v>
      </c>
      <c r="CD38" s="289">
        <f t="shared" si="14"/>
        <v>17.887369791666668</v>
      </c>
      <c r="CE38" s="421"/>
      <c r="CF38" s="66"/>
      <c r="CG38" s="421"/>
      <c r="CH38" s="433">
        <f t="shared" si="15"/>
        <v>0.57546497989276135</v>
      </c>
      <c r="CI38" s="66"/>
      <c r="CJ38" s="66"/>
      <c r="CK38" s="66"/>
      <c r="CL38" s="66"/>
      <c r="CM38" s="163"/>
      <c r="CN38" s="68" t="s">
        <v>93</v>
      </c>
    </row>
    <row r="39" spans="1:93">
      <c r="A39" s="378">
        <f t="shared" si="24"/>
        <v>41194</v>
      </c>
      <c r="B39" s="307">
        <v>0.33333333333333331</v>
      </c>
      <c r="C39" s="304">
        <f t="shared" si="5"/>
        <v>24.166666666666664</v>
      </c>
      <c r="D39" s="70"/>
      <c r="E39" s="71"/>
      <c r="F39" s="71"/>
      <c r="G39" s="71"/>
      <c r="H39" s="71"/>
      <c r="I39" s="71"/>
      <c r="J39" s="437"/>
      <c r="K39" s="437"/>
      <c r="L39" s="95"/>
      <c r="M39" s="256">
        <v>62</v>
      </c>
      <c r="N39" s="72">
        <v>85</v>
      </c>
      <c r="O39" s="115">
        <f>(N38-M39)*N$4/(C39)</f>
        <v>4.7814620689655181</v>
      </c>
      <c r="P39" s="429"/>
      <c r="Q39" s="429"/>
      <c r="R39" s="429"/>
      <c r="S39" s="86"/>
      <c r="T39" s="86"/>
      <c r="U39" s="86"/>
      <c r="V39" s="65"/>
      <c r="W39" s="66"/>
      <c r="X39" s="66"/>
      <c r="Y39" s="66"/>
      <c r="Z39" s="66"/>
      <c r="AA39" s="86"/>
      <c r="AB39" s="86"/>
      <c r="AC39" s="63"/>
      <c r="AD39" s="87"/>
      <c r="AE39" s="87"/>
      <c r="AF39" s="88"/>
      <c r="AG39" s="85"/>
      <c r="AH39" s="66"/>
      <c r="AI39" s="87"/>
      <c r="AJ39" s="63"/>
      <c r="AK39" s="65"/>
      <c r="AL39" s="66">
        <v>34.6</v>
      </c>
      <c r="AM39" s="66">
        <v>565</v>
      </c>
      <c r="AN39" s="89">
        <f t="shared" si="9"/>
        <v>60.062896551724144</v>
      </c>
      <c r="AO39" s="89">
        <f t="shared" si="29"/>
        <v>23.525338955026452</v>
      </c>
      <c r="AP39" s="66">
        <v>352</v>
      </c>
      <c r="AQ39" s="72">
        <f t="shared" si="22"/>
        <v>22313.625</v>
      </c>
      <c r="AR39" s="72">
        <f t="shared" si="10"/>
        <v>1138.683103448273</v>
      </c>
      <c r="AS39" s="143">
        <f t="shared" si="11"/>
        <v>47.445129310344711</v>
      </c>
      <c r="AT39" s="72">
        <f t="shared" si="25"/>
        <v>866.17064901620677</v>
      </c>
      <c r="AU39" s="66"/>
      <c r="AV39" s="143">
        <f t="shared" si="26"/>
        <v>660.56370464852444</v>
      </c>
      <c r="AW39" s="433">
        <f t="shared" si="12"/>
        <v>0.80586206896551515</v>
      </c>
      <c r="AX39" s="66"/>
      <c r="AY39" s="66"/>
      <c r="AZ39" s="66"/>
      <c r="BA39" s="66"/>
      <c r="BB39" s="66"/>
      <c r="BC39" s="90"/>
      <c r="BD39" s="291"/>
      <c r="BE39" s="147"/>
      <c r="BF39" s="261"/>
      <c r="BG39" s="65"/>
      <c r="BH39" s="66"/>
      <c r="BI39" s="66"/>
      <c r="BJ39" s="66"/>
      <c r="BK39" s="66"/>
      <c r="BL39" s="437"/>
      <c r="BM39" s="437"/>
      <c r="BN39" s="63"/>
      <c r="BO39" s="87"/>
      <c r="BP39" s="87"/>
      <c r="BQ39" s="88"/>
      <c r="BR39" s="85"/>
      <c r="BS39" s="64"/>
      <c r="BT39" s="66"/>
      <c r="BU39" s="67"/>
      <c r="BV39" s="65"/>
      <c r="BW39" s="66">
        <v>50.4</v>
      </c>
      <c r="BX39" s="66">
        <v>187</v>
      </c>
      <c r="BY39" s="280">
        <f t="shared" si="27"/>
        <v>49.655172413793103</v>
      </c>
      <c r="BZ39" s="280">
        <f t="shared" si="28"/>
        <v>15.02361111111111</v>
      </c>
      <c r="CA39" s="66">
        <v>173</v>
      </c>
      <c r="CB39" s="301">
        <f t="shared" si="23"/>
        <v>10809.940624999999</v>
      </c>
      <c r="CC39" s="285">
        <f t="shared" si="13"/>
        <v>548.14655172413791</v>
      </c>
      <c r="CD39" s="289">
        <f t="shared" si="14"/>
        <v>22.839439655172416</v>
      </c>
      <c r="CE39" s="72">
        <f>CC39/(BY39*(AVERAGE(D$13,D$18,D$23,D$31,D$35))*AVERAGE(E$13,E$18,E$23,E$31,E$35)*0.0001)</f>
        <v>504.35815968389278</v>
      </c>
      <c r="CF39" s="66"/>
      <c r="CG39" s="72">
        <f>CC39/(BY39*AVERAGE(D$23,D$31,D$35)*0.01)</f>
        <v>384.63632404181192</v>
      </c>
      <c r="CH39" s="433">
        <f t="shared" si="15"/>
        <v>0.73478090043450117</v>
      </c>
      <c r="CI39" s="66"/>
      <c r="CJ39" s="66"/>
      <c r="CK39" s="66"/>
      <c r="CL39" s="66"/>
      <c r="CM39" s="66"/>
      <c r="CN39" s="68"/>
    </row>
    <row r="40" spans="1:93">
      <c r="A40" s="378">
        <f t="shared" si="24"/>
        <v>41195</v>
      </c>
      <c r="B40" s="307">
        <v>0.33333333333333331</v>
      </c>
      <c r="C40" s="304">
        <f t="shared" si="5"/>
        <v>24</v>
      </c>
      <c r="D40" s="65"/>
      <c r="E40" s="66"/>
      <c r="F40" s="66"/>
      <c r="G40" s="66"/>
      <c r="H40" s="66"/>
      <c r="I40" s="66"/>
      <c r="J40" s="86"/>
      <c r="K40" s="86"/>
      <c r="L40" s="63"/>
      <c r="M40" s="86">
        <v>68</v>
      </c>
      <c r="N40" s="66">
        <v>68</v>
      </c>
      <c r="O40" s="115">
        <f>(N39-M40)*N$4/(C40)</f>
        <v>3.5586666666666669</v>
      </c>
      <c r="P40" s="424"/>
      <c r="Q40" s="424"/>
      <c r="R40" s="424"/>
      <c r="S40" s="86"/>
      <c r="T40" s="86"/>
      <c r="U40" s="86"/>
      <c r="V40" s="65"/>
      <c r="W40" s="66"/>
      <c r="X40" s="72"/>
      <c r="Y40" s="66"/>
      <c r="Z40" s="72"/>
      <c r="AA40" s="256"/>
      <c r="AB40" s="256"/>
      <c r="AC40" s="63"/>
      <c r="AD40" s="87"/>
      <c r="AE40" s="87"/>
      <c r="AF40" s="88"/>
      <c r="AG40" s="85"/>
      <c r="AH40" s="71"/>
      <c r="AI40" s="83"/>
      <c r="AJ40" s="95"/>
      <c r="AK40" s="65"/>
      <c r="AL40" s="66">
        <v>34.6</v>
      </c>
      <c r="AM40" s="66">
        <v>592</v>
      </c>
      <c r="AN40" s="89">
        <f t="shared" si="9"/>
        <v>58.320000000000007</v>
      </c>
      <c r="AO40" s="89">
        <f t="shared" si="29"/>
        <v>24.228395061728392</v>
      </c>
      <c r="AP40" s="66">
        <v>374</v>
      </c>
      <c r="AQ40" s="72">
        <f t="shared" si="22"/>
        <v>23641.256250000002</v>
      </c>
      <c r="AR40" s="72">
        <f t="shared" si="10"/>
        <v>1327.6312500000022</v>
      </c>
      <c r="AS40" s="143">
        <f t="shared" si="11"/>
        <v>55.317968750000091</v>
      </c>
      <c r="AT40" s="72">
        <f t="shared" si="25"/>
        <v>1040.0801555438318</v>
      </c>
      <c r="AU40" s="66"/>
      <c r="AV40" s="143">
        <f t="shared" si="26"/>
        <v>793.19150499706188</v>
      </c>
      <c r="AW40" s="433">
        <f t="shared" si="12"/>
        <v>0.93958333333333488</v>
      </c>
      <c r="AX40" s="66"/>
      <c r="AY40" s="66"/>
      <c r="AZ40" s="66"/>
      <c r="BA40" s="66"/>
      <c r="BB40" s="66"/>
      <c r="BC40" s="86"/>
      <c r="BD40" s="291"/>
      <c r="BE40" s="147"/>
      <c r="BF40" s="261"/>
      <c r="BG40" s="65"/>
      <c r="BH40" s="66"/>
      <c r="BI40" s="72"/>
      <c r="BJ40" s="66"/>
      <c r="BK40" s="72"/>
      <c r="BL40" s="86"/>
      <c r="BM40" s="86"/>
      <c r="BN40" s="63"/>
      <c r="BO40" s="87"/>
      <c r="BP40" s="87"/>
      <c r="BQ40" s="88"/>
      <c r="BR40" s="85"/>
      <c r="BS40" s="92"/>
      <c r="BT40" s="71"/>
      <c r="BU40" s="96"/>
      <c r="BV40" s="65"/>
      <c r="BW40" s="66">
        <v>50.5</v>
      </c>
      <c r="BX40" s="66">
        <v>203</v>
      </c>
      <c r="BY40" s="280">
        <f t="shared" si="27"/>
        <v>32</v>
      </c>
      <c r="BZ40" s="280">
        <f t="shared" si="28"/>
        <v>23.3125</v>
      </c>
      <c r="CA40" s="66">
        <v>180</v>
      </c>
      <c r="CB40" s="301">
        <f t="shared" si="23"/>
        <v>11239.237499999999</v>
      </c>
      <c r="CC40" s="285">
        <f t="shared" si="13"/>
        <v>429.296875</v>
      </c>
      <c r="CD40" s="289">
        <f t="shared" si="14"/>
        <v>17.887369791666668</v>
      </c>
      <c r="CE40" s="72">
        <f>CC40/(BY40*(AVERAGE(D$13,D$18,D$23,D$31,D$35))*AVERAGE(E$13,E$18,E$23,E$31,E$35)*0.0001)</f>
        <v>612.93526350473087</v>
      </c>
      <c r="CF40" s="66"/>
      <c r="CG40" s="72">
        <f>CC40/(BY40*AVERAGE(D$23,D$31,D$35)*0.01)</f>
        <v>467.43997713414637</v>
      </c>
      <c r="CH40" s="433">
        <f t="shared" si="15"/>
        <v>0.57546497989276135</v>
      </c>
      <c r="CI40" s="66"/>
      <c r="CJ40" s="66"/>
      <c r="CK40" s="66"/>
      <c r="CL40" s="66"/>
      <c r="CM40" s="66"/>
      <c r="CN40" s="68"/>
    </row>
    <row r="41" spans="1:93">
      <c r="A41" s="378">
        <f t="shared" si="24"/>
        <v>41196</v>
      </c>
      <c r="B41" s="307">
        <v>0.60416666666666663</v>
      </c>
      <c r="C41" s="304">
        <f t="shared" si="5"/>
        <v>30.5</v>
      </c>
      <c r="D41" s="65"/>
      <c r="E41" s="66"/>
      <c r="F41" s="66"/>
      <c r="G41" s="66"/>
      <c r="H41" s="66"/>
      <c r="I41" s="66"/>
      <c r="J41" s="86"/>
      <c r="K41" s="86"/>
      <c r="L41" s="63"/>
      <c r="M41" s="86">
        <v>50</v>
      </c>
      <c r="N41" s="66">
        <v>85</v>
      </c>
      <c r="O41" s="115">
        <f>(N40-M41)*N$4/(C41)</f>
        <v>2.9649836065573769</v>
      </c>
      <c r="P41" s="424"/>
      <c r="Q41" s="424"/>
      <c r="R41" s="424"/>
      <c r="S41" s="86"/>
      <c r="T41" s="86"/>
      <c r="U41" s="86"/>
      <c r="V41" s="164"/>
      <c r="W41" s="165"/>
      <c r="X41" s="165"/>
      <c r="Y41" s="165"/>
      <c r="Z41" s="166"/>
      <c r="AA41" s="439"/>
      <c r="AB41" s="439"/>
      <c r="AC41" s="167"/>
      <c r="AD41" s="168"/>
      <c r="AE41" s="168"/>
      <c r="AF41" s="169"/>
      <c r="AG41" s="170"/>
      <c r="AH41" s="66"/>
      <c r="AI41" s="87"/>
      <c r="AJ41" s="63"/>
      <c r="AK41" s="65"/>
      <c r="AL41" s="66">
        <v>34.6</v>
      </c>
      <c r="AM41" s="66">
        <v>630</v>
      </c>
      <c r="AN41" s="89">
        <f t="shared" si="9"/>
        <v>64.587540983606573</v>
      </c>
      <c r="AO41" s="89">
        <f t="shared" si="29"/>
        <v>21.877284356725141</v>
      </c>
      <c r="AP41" s="66">
        <v>395</v>
      </c>
      <c r="AQ41" s="72">
        <f t="shared" si="22"/>
        <v>24908.540625000001</v>
      </c>
      <c r="AR41" s="72">
        <f t="shared" si="10"/>
        <v>997.20737704917985</v>
      </c>
      <c r="AS41" s="143">
        <f t="shared" si="11"/>
        <v>41.550307377049158</v>
      </c>
      <c r="AT41" s="72">
        <f t="shared" si="25"/>
        <v>705.41321554228614</v>
      </c>
      <c r="AU41" s="66"/>
      <c r="AV41" s="143">
        <f t="shared" si="26"/>
        <v>537.96600877192952</v>
      </c>
      <c r="AW41" s="433">
        <f t="shared" si="12"/>
        <v>0.70573770491803245</v>
      </c>
      <c r="AX41" s="66"/>
      <c r="AY41" s="66"/>
      <c r="AZ41" s="66"/>
      <c r="BA41" s="66"/>
      <c r="BB41" s="66"/>
      <c r="BC41" s="86"/>
      <c r="BD41" s="291"/>
      <c r="BE41" s="147"/>
      <c r="BF41" s="261"/>
      <c r="BG41" s="164"/>
      <c r="BH41" s="165"/>
      <c r="BI41" s="165"/>
      <c r="BJ41" s="165"/>
      <c r="BK41" s="166"/>
      <c r="BL41" s="86"/>
      <c r="BM41" s="86"/>
      <c r="BN41" s="167"/>
      <c r="BO41" s="168"/>
      <c r="BP41" s="168"/>
      <c r="BQ41" s="169"/>
      <c r="BR41" s="170"/>
      <c r="BS41" s="64"/>
      <c r="BT41" s="66"/>
      <c r="BU41" s="67"/>
      <c r="BV41" s="65"/>
      <c r="BW41" s="66">
        <v>50.5</v>
      </c>
      <c r="BX41" s="66">
        <v>225</v>
      </c>
      <c r="BY41" s="280">
        <f t="shared" si="27"/>
        <v>34.622950819672134</v>
      </c>
      <c r="BZ41" s="280">
        <f t="shared" si="28"/>
        <v>21.546401515151512</v>
      </c>
      <c r="CA41" s="66">
        <v>192</v>
      </c>
      <c r="CB41" s="301">
        <f t="shared" si="23"/>
        <v>11975.174999999999</v>
      </c>
      <c r="CC41" s="285">
        <f t="shared" si="13"/>
        <v>579.09836065573779</v>
      </c>
      <c r="CD41" s="289">
        <f t="shared" si="14"/>
        <v>24.129098360655739</v>
      </c>
      <c r="CE41" s="72">
        <f>CC41/(BY41*(AVERAGE(D$13,D$18,D$23,D$31,D$35))*AVERAGE(E$13,E$18,E$23,E$31,E$35)*0.0001)</f>
        <v>764.1790298240802</v>
      </c>
      <c r="CF41" s="66"/>
      <c r="CG41" s="72">
        <f>CC41/(BY41*AVERAGE(D$23,D$31,D$35)*0.01)</f>
        <v>582.78230915426047</v>
      </c>
      <c r="CH41" s="433">
        <f t="shared" si="15"/>
        <v>0.77627126093262444</v>
      </c>
      <c r="CI41" s="66"/>
      <c r="CJ41" s="66"/>
      <c r="CK41" s="66"/>
      <c r="CL41" s="66"/>
      <c r="CM41" s="66"/>
      <c r="CN41" s="68"/>
    </row>
    <row r="42" spans="1:93">
      <c r="A42" s="378">
        <f t="shared" si="24"/>
        <v>41197</v>
      </c>
      <c r="B42" s="411">
        <v>0.3263888888888889</v>
      </c>
      <c r="C42" s="304">
        <f t="shared" si="5"/>
        <v>17.333333333333336</v>
      </c>
      <c r="D42" s="97"/>
      <c r="E42" s="98"/>
      <c r="F42" s="98"/>
      <c r="G42" s="98"/>
      <c r="H42" s="98"/>
      <c r="I42" s="98"/>
      <c r="J42" s="157"/>
      <c r="K42" s="157"/>
      <c r="L42" s="99"/>
      <c r="M42" s="157"/>
      <c r="N42" s="98"/>
      <c r="O42" s="263"/>
      <c r="P42" s="430"/>
      <c r="Q42" s="430"/>
      <c r="R42" s="430"/>
      <c r="S42" s="157"/>
      <c r="T42" s="157"/>
      <c r="U42" s="157"/>
      <c r="V42" s="97"/>
      <c r="W42" s="98"/>
      <c r="X42" s="81"/>
      <c r="Y42" s="98"/>
      <c r="Z42" s="81"/>
      <c r="AA42" s="257"/>
      <c r="AB42" s="257"/>
      <c r="AC42" s="99"/>
      <c r="AD42" s="158"/>
      <c r="AE42" s="158"/>
      <c r="AF42" s="171"/>
      <c r="AG42" s="172"/>
      <c r="AH42" s="80"/>
      <c r="AI42" s="173"/>
      <c r="AJ42" s="174"/>
      <c r="AK42" s="97"/>
      <c r="AL42" s="98">
        <v>34.5</v>
      </c>
      <c r="AM42" s="98">
        <v>649</v>
      </c>
      <c r="AN42" s="89">
        <f t="shared" si="9"/>
        <v>56.824615384615385</v>
      </c>
      <c r="AO42" s="89">
        <f t="shared" si="29"/>
        <v>24.865984405458089</v>
      </c>
      <c r="AP42" s="98">
        <v>406</v>
      </c>
      <c r="AQ42" s="72">
        <f t="shared" si="22"/>
        <v>25572.356250000004</v>
      </c>
      <c r="AR42" s="72">
        <f t="shared" si="10"/>
        <v>919.12932692308084</v>
      </c>
      <c r="AS42" s="143">
        <f t="shared" si="11"/>
        <v>38.297055288461699</v>
      </c>
      <c r="AT42" s="72">
        <f t="shared" si="25"/>
        <v>739.00432104430365</v>
      </c>
      <c r="AU42" s="98"/>
      <c r="AV42" s="143">
        <f t="shared" si="26"/>
        <v>563.58343776107176</v>
      </c>
      <c r="AW42" s="433">
        <f t="shared" si="12"/>
        <v>0.65048076923077203</v>
      </c>
      <c r="AX42" s="98"/>
      <c r="AY42" s="98"/>
      <c r="AZ42" s="98"/>
      <c r="BA42" s="98"/>
      <c r="BB42" s="98"/>
      <c r="BC42" s="157"/>
      <c r="BD42" s="291"/>
      <c r="BE42" s="147"/>
      <c r="BF42" s="261"/>
      <c r="BG42" s="97"/>
      <c r="BH42" s="98"/>
      <c r="BI42" s="81"/>
      <c r="BJ42" s="98"/>
      <c r="BK42" s="81"/>
      <c r="BL42" s="157"/>
      <c r="BM42" s="157"/>
      <c r="BN42" s="99"/>
      <c r="BO42" s="158"/>
      <c r="BP42" s="158"/>
      <c r="BQ42" s="171"/>
      <c r="BR42" s="172"/>
      <c r="BS42" s="175"/>
      <c r="BT42" s="80"/>
      <c r="BU42" s="176"/>
      <c r="BV42" s="97"/>
      <c r="BW42" s="98">
        <v>50.4</v>
      </c>
      <c r="BX42" s="98">
        <v>235</v>
      </c>
      <c r="BY42" s="280">
        <f t="shared" si="27"/>
        <v>27.69230769230769</v>
      </c>
      <c r="BZ42" s="280">
        <f t="shared" si="28"/>
        <v>26.93888888888889</v>
      </c>
      <c r="CA42" s="98">
        <v>197</v>
      </c>
      <c r="CB42" s="301">
        <f t="shared" si="23"/>
        <v>12281.815624999999</v>
      </c>
      <c r="CC42" s="285">
        <f t="shared" si="13"/>
        <v>424.57932692307685</v>
      </c>
      <c r="CD42" s="289">
        <f t="shared" si="14"/>
        <v>17.690805288461537</v>
      </c>
      <c r="CE42" s="72">
        <f>CC42/(BY42*(AVERAGE(D$13,D$18,D$23,D$31,D$35))*AVERAGE(E$13,E$18,E$23,E$31,E$35)*0.0001)</f>
        <v>700.49744400540658</v>
      </c>
      <c r="CF42" s="98"/>
      <c r="CG42" s="72">
        <f>CC42/(BY42*AVERAGE(D$23,D$31,D$35)*0.01)</f>
        <v>534.21711672473873</v>
      </c>
      <c r="CH42" s="433">
        <f t="shared" si="15"/>
        <v>0.56914118890492871</v>
      </c>
      <c r="CI42" s="98"/>
      <c r="CJ42" s="98"/>
      <c r="CK42" s="98"/>
      <c r="CL42" s="98"/>
      <c r="CM42" s="98"/>
      <c r="CN42" s="68"/>
    </row>
    <row r="43" spans="1:93" s="337" customFormat="1" ht="28.5">
      <c r="A43" s="309">
        <f t="shared" si="24"/>
        <v>41198</v>
      </c>
      <c r="B43" s="416">
        <v>0.3263888888888889</v>
      </c>
      <c r="C43" s="311">
        <f t="shared" si="5"/>
        <v>24</v>
      </c>
      <c r="D43" s="386">
        <v>3.3</v>
      </c>
      <c r="E43" s="330">
        <v>76.7</v>
      </c>
      <c r="F43" s="348">
        <v>44300</v>
      </c>
      <c r="G43" s="330">
        <v>5.93</v>
      </c>
      <c r="H43" s="330"/>
      <c r="I43" s="348">
        <v>4311</v>
      </c>
      <c r="J43" s="350"/>
      <c r="K43" s="350"/>
      <c r="L43" s="356"/>
      <c r="M43" s="357">
        <v>60</v>
      </c>
      <c r="N43" s="355">
        <v>83</v>
      </c>
      <c r="O43" s="413">
        <f>(N41-M43)*N$4/(C43+C42)</f>
        <v>3.0387096774193547</v>
      </c>
      <c r="P43" s="431"/>
      <c r="Q43" s="431"/>
      <c r="R43" s="431"/>
      <c r="S43" s="354">
        <v>60</v>
      </c>
      <c r="T43" s="357">
        <v>5</v>
      </c>
      <c r="U43" s="352"/>
      <c r="V43" s="386">
        <v>2.2999999999999998</v>
      </c>
      <c r="W43" s="390">
        <v>67.7</v>
      </c>
      <c r="X43" s="348">
        <v>28100</v>
      </c>
      <c r="Y43" s="330"/>
      <c r="Z43" s="348">
        <v>1762</v>
      </c>
      <c r="AA43" s="350"/>
      <c r="AB43" s="350"/>
      <c r="AC43" s="356"/>
      <c r="AD43" s="391">
        <f>D35*(100-E35)/(100-W43)</f>
        <v>2.3559133126934988</v>
      </c>
      <c r="AE43" s="387">
        <f>D35-V43</f>
        <v>0.98</v>
      </c>
      <c r="AF43" s="393">
        <f>100*(AVERAGE(D35,D31)-V43)/AVERAGE(D35,D31)</f>
        <v>19.014084507042256</v>
      </c>
      <c r="AG43" s="393">
        <f>100*(1-((100-AVERAGE(E35,E31))/(100-W43)))</f>
        <v>42.414860681114561</v>
      </c>
      <c r="AH43" s="387">
        <f>E35-W43</f>
        <v>9.0999999999999943</v>
      </c>
      <c r="AI43" s="393">
        <f>100*(1-((V43*W43)/(AVERAGE(D35,D31)*AVERAGE(E35,E31))))</f>
        <v>32.64439215143441</v>
      </c>
      <c r="AJ43" s="389">
        <f>100*100*((AVERAGE(E35,E31)-W43)/((100-W43)*AVERAGE(E35,E31)))</f>
        <v>52.106708453457699</v>
      </c>
      <c r="AK43" s="386">
        <v>7.02</v>
      </c>
      <c r="AL43" s="369">
        <v>32.799999999999997</v>
      </c>
      <c r="AM43" s="330">
        <v>676</v>
      </c>
      <c r="AN43" s="89">
        <f t="shared" si="9"/>
        <v>58.320000000000007</v>
      </c>
      <c r="AO43" s="89">
        <f t="shared" si="29"/>
        <v>24.228395061728392</v>
      </c>
      <c r="AP43" s="330">
        <v>422</v>
      </c>
      <c r="AQ43" s="313">
        <f t="shared" si="22"/>
        <v>26537.90625</v>
      </c>
      <c r="AR43" s="72">
        <f t="shared" si="10"/>
        <v>965.54999999999563</v>
      </c>
      <c r="AS43" s="143">
        <f t="shared" si="11"/>
        <v>40.231249999999818</v>
      </c>
      <c r="AT43" s="72">
        <f t="shared" si="25"/>
        <v>756.42193130460021</v>
      </c>
      <c r="AU43" s="313">
        <f>(AQ43-AQ39)/(AVERAGE(AN39:AN43)*((AVERAGE(D35,D31,D23)*AVERAGE(E35,E31,E23))-(V43*W43))*0.0001*(SUM(C39:C43)/24))</f>
        <v>1982.1253469207259</v>
      </c>
      <c r="AV43" s="143">
        <f t="shared" si="26"/>
        <v>576.86654908876869</v>
      </c>
      <c r="AW43" s="433">
        <f t="shared" si="12"/>
        <v>0.68333333333333024</v>
      </c>
      <c r="AX43" s="330"/>
      <c r="AY43" s="330"/>
      <c r="AZ43" s="330"/>
      <c r="BA43" s="330"/>
      <c r="BB43" s="330"/>
      <c r="BC43" s="352"/>
      <c r="BD43" s="388">
        <v>20</v>
      </c>
      <c r="BE43" s="330">
        <v>20</v>
      </c>
      <c r="BF43" s="316"/>
      <c r="BG43" s="386">
        <v>2.1</v>
      </c>
      <c r="BH43" s="330">
        <v>66.7</v>
      </c>
      <c r="BI43" s="348">
        <v>26500</v>
      </c>
      <c r="BJ43" s="330"/>
      <c r="BK43" s="348">
        <v>4147</v>
      </c>
      <c r="BL43" s="350"/>
      <c r="BM43" s="350"/>
      <c r="BN43" s="356"/>
      <c r="BO43" s="391">
        <f>D35*(100-E35)/(100-BH43)</f>
        <v>2.2851651651651657</v>
      </c>
      <c r="BP43" s="387">
        <f>D35-BG43</f>
        <v>1.1799999999999997</v>
      </c>
      <c r="BQ43" s="392">
        <f>100*(AVERAGE(D35,D31)-BG43)/AVERAGE(D35,D31)</f>
        <v>26.056338028169005</v>
      </c>
      <c r="BR43" s="393">
        <f>100*(1-((100-AVERAGE(E35,E31))/(100-BH43)))</f>
        <v>44.144144144144157</v>
      </c>
      <c r="BS43" s="387">
        <f>E35-BH43</f>
        <v>10.099999999999994</v>
      </c>
      <c r="BT43" s="392">
        <f>100*(1-((BG43*BH43)/(D35*E35)))</f>
        <v>44.395483993902417</v>
      </c>
      <c r="BU43" s="389">
        <f>100*100*((AVERAGE(E35,E31)-BH43)/((100-BH43)*AVERAGE(E35,E31)))</f>
        <v>54.231135312216409</v>
      </c>
      <c r="BV43" s="386">
        <v>7.23</v>
      </c>
      <c r="BW43" s="369">
        <v>46.1</v>
      </c>
      <c r="BX43" s="330">
        <v>241</v>
      </c>
      <c r="BY43" s="422">
        <f t="shared" si="27"/>
        <v>12</v>
      </c>
      <c r="BZ43" s="280">
        <f t="shared" si="28"/>
        <v>62.166666666666664</v>
      </c>
      <c r="CA43" s="330">
        <v>208</v>
      </c>
      <c r="CB43" s="301">
        <f t="shared" si="23"/>
        <v>12956.424999999999</v>
      </c>
      <c r="CC43" s="285">
        <f t="shared" si="13"/>
        <v>674.609375</v>
      </c>
      <c r="CD43" s="289">
        <f t="shared" si="14"/>
        <v>28.108723958333332</v>
      </c>
      <c r="CE43" s="421">
        <f>CC43/(BY43*(AVERAGE(D$13,D$18,D$23,D$31,D$35))*AVERAGE(E$13,E$18,E$23,E$31,E$35)*0.0001)</f>
        <v>2568.4906280198243</v>
      </c>
      <c r="CF43" s="313">
        <f>(CB43-CB39)/(AVERAGE(BY39:BY43)*((AVERAGE(D35,D31,D23)*AVERAGE(E35,E31,E23))-(BG43*BH43))*0.0001*(SUM(C39:C43)/24))</f>
        <v>1579.5155030190535</v>
      </c>
      <c r="CG43" s="421">
        <f>CC43/(BY43*AVERAGE(D$23,D$31,D$35)*0.01)</f>
        <v>1958.7960946573753</v>
      </c>
      <c r="CH43" s="433">
        <f t="shared" si="15"/>
        <v>0.90430211126005366</v>
      </c>
      <c r="CI43" s="330"/>
      <c r="CJ43" s="330"/>
      <c r="CK43" s="330"/>
      <c r="CL43" s="330"/>
      <c r="CM43" s="330"/>
      <c r="CN43" s="336" t="s">
        <v>96</v>
      </c>
      <c r="CO43" s="337" t="s">
        <v>97</v>
      </c>
    </row>
    <row r="44" spans="1:93">
      <c r="A44" s="378">
        <f t="shared" si="24"/>
        <v>41199</v>
      </c>
      <c r="B44" s="411">
        <v>0.3263888888888889</v>
      </c>
      <c r="C44" s="304">
        <f t="shared" si="5"/>
        <v>24</v>
      </c>
      <c r="D44" s="65"/>
      <c r="E44" s="66"/>
      <c r="F44" s="72"/>
      <c r="G44" s="66"/>
      <c r="H44" s="66"/>
      <c r="I44" s="66"/>
      <c r="J44" s="86"/>
      <c r="K44" s="86"/>
      <c r="L44" s="63"/>
      <c r="M44" s="86">
        <v>55</v>
      </c>
      <c r="N44" s="66">
        <v>85</v>
      </c>
      <c r="O44" s="414">
        <f>(N43-M44)*N$4/(C44+6.5)</f>
        <v>4.6121967213114754</v>
      </c>
      <c r="P44" s="424"/>
      <c r="Q44" s="424"/>
      <c r="R44" s="424"/>
      <c r="S44" s="86"/>
      <c r="T44" s="86"/>
      <c r="U44" s="86"/>
      <c r="V44" s="65"/>
      <c r="W44" s="66"/>
      <c r="X44" s="72"/>
      <c r="Y44" s="66"/>
      <c r="Z44" s="72"/>
      <c r="AA44" s="256"/>
      <c r="AB44" s="256"/>
      <c r="AC44" s="63"/>
      <c r="AD44" s="87"/>
      <c r="AE44" s="87"/>
      <c r="AF44" s="88"/>
      <c r="AG44" s="85"/>
      <c r="AH44" s="71"/>
      <c r="AI44" s="83"/>
      <c r="AJ44" s="95"/>
      <c r="AK44" s="65"/>
      <c r="AL44" s="66">
        <v>34.6</v>
      </c>
      <c r="AM44" s="66">
        <v>706</v>
      </c>
      <c r="AN44" s="89">
        <f t="shared" si="9"/>
        <v>64.800000000000011</v>
      </c>
      <c r="AO44" s="89">
        <f t="shared" si="29"/>
        <v>21.80555555555555</v>
      </c>
      <c r="AP44" s="66">
        <v>439</v>
      </c>
      <c r="AQ44" s="72">
        <f t="shared" si="22"/>
        <v>27563.803125000002</v>
      </c>
      <c r="AR44" s="72">
        <f t="shared" si="10"/>
        <v>1025.8968750000022</v>
      </c>
      <c r="AS44" s="143">
        <f t="shared" si="11"/>
        <v>42.745703125000091</v>
      </c>
      <c r="AT44" s="72">
        <f>AR44/(AN44*(AVERAGE(D$18,D$23,D$31,D$35,D$43))*AVERAGE(E$18,E$23,E$31,E$35,E$43)*0.0001)</f>
        <v>671.8230273426758</v>
      </c>
      <c r="AU44" s="66"/>
      <c r="AV44" s="143">
        <f>AR44/(AN44*AVERAGE(D$23,D$31,D$35:D$43)*0.01)</f>
        <v>531.712574245111</v>
      </c>
      <c r="AW44" s="433">
        <f t="shared" si="12"/>
        <v>0.72604166666666825</v>
      </c>
      <c r="AX44" s="66"/>
      <c r="AY44" s="66"/>
      <c r="AZ44" s="66"/>
      <c r="BA44" s="66"/>
      <c r="BB44" s="66"/>
      <c r="BC44" s="86"/>
      <c r="BD44" s="291"/>
      <c r="BE44" s="147"/>
      <c r="BF44" s="64"/>
      <c r="BG44" s="65"/>
      <c r="BH44" s="66"/>
      <c r="BI44" s="72"/>
      <c r="BJ44" s="66"/>
      <c r="BK44" s="72"/>
      <c r="BL44" s="86"/>
      <c r="BM44" s="86"/>
      <c r="BN44" s="63"/>
      <c r="BO44" s="87"/>
      <c r="BP44" s="87"/>
      <c r="BQ44" s="88"/>
      <c r="BR44" s="85"/>
      <c r="BS44" s="92"/>
      <c r="BT44" s="71"/>
      <c r="BU44" s="96"/>
      <c r="BV44" s="65"/>
      <c r="BW44" s="66">
        <v>50.85</v>
      </c>
      <c r="BX44" s="66">
        <v>267</v>
      </c>
      <c r="BY44" s="435">
        <f t="shared" si="27"/>
        <v>52</v>
      </c>
      <c r="BZ44" s="280">
        <f t="shared" si="28"/>
        <v>14.346153846153847</v>
      </c>
      <c r="CA44" s="66">
        <v>222</v>
      </c>
      <c r="CB44" s="301">
        <f t="shared" si="23"/>
        <v>13815.018749999999</v>
      </c>
      <c r="CC44" s="285">
        <f t="shared" si="13"/>
        <v>858.59375</v>
      </c>
      <c r="CD44" s="289">
        <f t="shared" si="14"/>
        <v>35.774739583333336</v>
      </c>
      <c r="CE44" s="72">
        <f>CC44/(BY44*(AVERAGE(D$18,D$23,D$31,D$35,D$43))*AVERAGE(E$18,E$23,E$31,E$35,E$43)*0.0001)</f>
        <v>700.66522551465323</v>
      </c>
      <c r="CF44" s="66"/>
      <c r="CG44" s="143">
        <f>CC44/(BY44*AVERAGE(D$23,D$31,D$35:D43)*0.01)</f>
        <v>554.53965639733894</v>
      </c>
      <c r="CH44" s="433">
        <f t="shared" si="15"/>
        <v>1.1509299597855227</v>
      </c>
      <c r="CI44" s="66"/>
      <c r="CJ44" s="66"/>
      <c r="CK44" s="66"/>
      <c r="CL44" s="66"/>
      <c r="CM44" s="66"/>
      <c r="CN44" s="68"/>
    </row>
    <row r="45" spans="1:93">
      <c r="A45" s="378">
        <f t="shared" si="24"/>
        <v>41200</v>
      </c>
      <c r="B45" s="411">
        <v>0.3263888888888889</v>
      </c>
      <c r="C45" s="304">
        <f t="shared" si="5"/>
        <v>24</v>
      </c>
      <c r="D45" s="65"/>
      <c r="E45" s="66"/>
      <c r="F45" s="72"/>
      <c r="G45" s="66"/>
      <c r="H45" s="66"/>
      <c r="I45" s="66"/>
      <c r="J45" s="86"/>
      <c r="K45" s="86"/>
      <c r="L45" s="63"/>
      <c r="M45" s="86"/>
      <c r="N45" s="66"/>
      <c r="O45" s="261"/>
      <c r="P45" s="424"/>
      <c r="Q45" s="424"/>
      <c r="R45" s="424"/>
      <c r="S45" s="86"/>
      <c r="T45" s="86"/>
      <c r="U45" s="86"/>
      <c r="V45" s="164"/>
      <c r="W45" s="165"/>
      <c r="X45" s="165"/>
      <c r="Y45" s="165"/>
      <c r="Z45" s="166"/>
      <c r="AA45" s="439"/>
      <c r="AB45" s="439"/>
      <c r="AC45" s="167"/>
      <c r="AD45" s="168"/>
      <c r="AE45" s="168"/>
      <c r="AF45" s="169"/>
      <c r="AG45" s="170"/>
      <c r="AH45" s="66"/>
      <c r="AI45" s="87"/>
      <c r="AJ45" s="63"/>
      <c r="AK45" s="65"/>
      <c r="AL45" s="66">
        <v>34.6</v>
      </c>
      <c r="AM45" s="66">
        <v>733</v>
      </c>
      <c r="AN45" s="89">
        <f t="shared" si="9"/>
        <v>58.320000000000007</v>
      </c>
      <c r="AO45" s="89">
        <f t="shared" si="29"/>
        <v>24.228395061728392</v>
      </c>
      <c r="AP45" s="66">
        <v>455</v>
      </c>
      <c r="AQ45" s="72">
        <f t="shared" si="22"/>
        <v>28529.353125000001</v>
      </c>
      <c r="AR45" s="72">
        <f t="shared" si="10"/>
        <v>965.54999999999927</v>
      </c>
      <c r="AS45" s="143">
        <f t="shared" si="11"/>
        <v>40.231249999999967</v>
      </c>
      <c r="AT45" s="72">
        <f>AR45/(AN45*(AVERAGE(D$18,D$23,D$31,D$35,D$43))*AVERAGE(E$18,E$23,E$31,E$35,E$43)*0.0001)</f>
        <v>702.56002859364582</v>
      </c>
      <c r="AU45" s="66"/>
      <c r="AV45" s="143">
        <f>AR45/(AN45*AVERAGE(D$23,D$31,D$35:D$43)*0.01)</f>
        <v>556.03929332821906</v>
      </c>
      <c r="AW45" s="433">
        <f t="shared" si="12"/>
        <v>0.68333333333333279</v>
      </c>
      <c r="AX45" s="66"/>
      <c r="AY45" s="66"/>
      <c r="AZ45" s="66"/>
      <c r="BA45" s="66"/>
      <c r="BB45" s="66"/>
      <c r="BC45" s="86"/>
      <c r="BD45" s="91"/>
      <c r="BE45" s="147"/>
      <c r="BF45" s="64"/>
      <c r="BG45" s="164"/>
      <c r="BH45" s="165"/>
      <c r="BI45" s="165"/>
      <c r="BJ45" s="165"/>
      <c r="BK45" s="166"/>
      <c r="BL45" s="86"/>
      <c r="BM45" s="86"/>
      <c r="BN45" s="167"/>
      <c r="BO45" s="168"/>
      <c r="BP45" s="168"/>
      <c r="BQ45" s="169"/>
      <c r="BR45" s="170"/>
      <c r="BS45" s="64"/>
      <c r="BT45" s="66"/>
      <c r="BU45" s="67"/>
      <c r="BV45" s="65"/>
      <c r="BW45" s="66">
        <v>50.4</v>
      </c>
      <c r="BX45" s="66">
        <v>283</v>
      </c>
      <c r="BY45" s="280">
        <f t="shared" si="27"/>
        <v>32</v>
      </c>
      <c r="BZ45" s="280">
        <f t="shared" si="28"/>
        <v>23.3125</v>
      </c>
      <c r="CA45" s="66">
        <v>232</v>
      </c>
      <c r="CB45" s="301">
        <f t="shared" si="23"/>
        <v>14428.3</v>
      </c>
      <c r="CC45" s="285">
        <f t="shared" si="13"/>
        <v>613.28125</v>
      </c>
      <c r="CD45" s="289">
        <f t="shared" si="14"/>
        <v>25.553385416666668</v>
      </c>
      <c r="CE45" s="72">
        <f>CC45/(BY45*(AVERAGE(D$18,D$23,D$31,D$35,D$43))*AVERAGE(E$18,E$23,E$31,E$35,E$43)*0.0001)</f>
        <v>813.27213675807968</v>
      </c>
      <c r="CF45" s="66"/>
      <c r="CG45" s="143">
        <f>CC45/(BY45*AVERAGE(D$23,D$31,D$35,D$43)*0.01)</f>
        <v>643.6621011754828</v>
      </c>
      <c r="CH45" s="433">
        <f t="shared" si="15"/>
        <v>0.82209282841823061</v>
      </c>
      <c r="CI45" s="66"/>
      <c r="CJ45" s="66"/>
      <c r="CK45" s="66"/>
      <c r="CL45" s="66"/>
      <c r="CM45" s="66"/>
      <c r="CN45" s="68"/>
    </row>
    <row r="46" spans="1:93" s="337" customFormat="1">
      <c r="A46" s="309">
        <f t="shared" si="24"/>
        <v>41201</v>
      </c>
      <c r="B46" s="310">
        <v>0.3125</v>
      </c>
      <c r="C46" s="304">
        <f t="shared" si="5"/>
        <v>23.666666666666668</v>
      </c>
      <c r="D46" s="339">
        <v>3.57</v>
      </c>
      <c r="E46" s="365">
        <v>76.8</v>
      </c>
      <c r="F46" s="319"/>
      <c r="G46" s="319">
        <v>5.85</v>
      </c>
      <c r="H46" s="319"/>
      <c r="I46" s="319"/>
      <c r="J46" s="317"/>
      <c r="K46" s="317"/>
      <c r="L46" s="320"/>
      <c r="M46" s="317">
        <v>50</v>
      </c>
      <c r="N46" s="319">
        <v>84</v>
      </c>
      <c r="O46" s="115">
        <f>(N44-M46)*N$4/(C46+C45)</f>
        <v>3.6889510489510489</v>
      </c>
      <c r="P46" s="424"/>
      <c r="Q46" s="424"/>
      <c r="R46" s="424"/>
      <c r="S46" s="317">
        <v>65</v>
      </c>
      <c r="T46" s="317">
        <v>5</v>
      </c>
      <c r="U46" s="317"/>
      <c r="V46" s="339">
        <v>2.17</v>
      </c>
      <c r="W46" s="365">
        <v>66.88</v>
      </c>
      <c r="X46" s="408"/>
      <c r="Y46" s="408"/>
      <c r="Z46" s="409"/>
      <c r="AA46" s="440"/>
      <c r="AB46" s="440"/>
      <c r="AC46" s="410"/>
      <c r="AD46" s="391">
        <f>D43*(100-E43)/(100-W46)</f>
        <v>2.3215579710144922</v>
      </c>
      <c r="AE46" s="387">
        <f>D43-V46</f>
        <v>1.1299999999999999</v>
      </c>
      <c r="AF46" s="393">
        <f>100*(AVERAGE(D43,D35,D31)-V46)/AVERAGE(D43,D35,D31)</f>
        <v>27.505567928730521</v>
      </c>
      <c r="AG46" s="393">
        <f>100*(1-((100-AVERAGE(E43,E35,E31))/(100-W46)))</f>
        <v>39.110305958132038</v>
      </c>
      <c r="AH46" s="387">
        <f>E43-W46</f>
        <v>9.8200000000000074</v>
      </c>
      <c r="AI46" s="393">
        <f>100*(1-((V46*W46)/(AVERAGE(D43,D35,D31)*AVERAGE(E43,E35,E31))))</f>
        <v>39.26813005937575</v>
      </c>
      <c r="AJ46" s="389">
        <f>100*100*((AVERAGE(E43,E35,E31)-W46)/((100-W46)*AVERAGE(E43,E35,E31)))</f>
        <v>48.989944832733244</v>
      </c>
      <c r="AK46" s="318">
        <v>6.98</v>
      </c>
      <c r="AL46" s="365">
        <v>33.6</v>
      </c>
      <c r="AM46" s="319">
        <v>760</v>
      </c>
      <c r="AN46" s="89">
        <f t="shared" si="9"/>
        <v>59.141408450704233</v>
      </c>
      <c r="AO46" s="89">
        <f t="shared" si="29"/>
        <v>23.891889574759944</v>
      </c>
      <c r="AP46" s="319">
        <v>472</v>
      </c>
      <c r="AQ46" s="313">
        <f t="shared" si="22"/>
        <v>29555.250000000004</v>
      </c>
      <c r="AR46" s="72">
        <f t="shared" si="10"/>
        <v>1040.3461267605655</v>
      </c>
      <c r="AS46" s="143">
        <f t="shared" si="11"/>
        <v>43.347755281690233</v>
      </c>
      <c r="AT46" s="72">
        <f>AR46/(AN46*(AVERAGE(D$18,D$23,D$31,D$35,D$43))*AVERAGE(E$18,E$23,E$31,E$35,E$43)*0.0001)</f>
        <v>746.4700303807507</v>
      </c>
      <c r="AU46" s="313">
        <f>(AQ46-AQ35)/(AVERAGE(AN35:AN46)*((AVERAGE(D43,D35,D31)*AVERAGE(E43,E35,E31))-(V46*W46))*0.0001*(SUM(C35:C46)/24))</f>
        <v>1742.7575978818184</v>
      </c>
      <c r="AV46" s="143">
        <f>AR46/(AN46*AVERAGE(D$23,D$31,D$35:D$43)*0.01)</f>
        <v>590.79174916123429</v>
      </c>
      <c r="AW46" s="433">
        <f t="shared" si="12"/>
        <v>0.73626760563380433</v>
      </c>
      <c r="AX46" s="319">
        <v>70.099999999999994</v>
      </c>
      <c r="AY46" s="319">
        <v>29.8</v>
      </c>
      <c r="AZ46" s="319">
        <v>0</v>
      </c>
      <c r="BA46" s="319">
        <v>12</v>
      </c>
      <c r="BB46" s="319">
        <v>75</v>
      </c>
      <c r="BC46" s="317"/>
      <c r="BD46" s="329">
        <v>49</v>
      </c>
      <c r="BE46" s="330">
        <v>5</v>
      </c>
      <c r="BF46" s="368"/>
      <c r="BG46" s="339">
        <v>1.96</v>
      </c>
      <c r="BH46" s="365">
        <v>65.599999999999994</v>
      </c>
      <c r="BI46" s="408"/>
      <c r="BJ46" s="408"/>
      <c r="BK46" s="409"/>
      <c r="BL46" s="317"/>
      <c r="BM46" s="317"/>
      <c r="BN46" s="410"/>
      <c r="BO46" s="391">
        <f>D43*(100-E43)/(100-BH46)</f>
        <v>2.2351744186046503</v>
      </c>
      <c r="BP46" s="387">
        <f>D43-BG46</f>
        <v>1.3399999999999999</v>
      </c>
      <c r="BQ46" s="392">
        <f>100*(AVERAGE(D43,D35,D31)-BG46)/AVERAGE(D43,D35,D31)</f>
        <v>34.521158129175959</v>
      </c>
      <c r="BR46" s="393">
        <f>100*(1-((100-AVERAGE(E43,E35,E31))/(100-BH46)))</f>
        <v>41.375968992248055</v>
      </c>
      <c r="BS46" s="387">
        <f>E43-BH46</f>
        <v>11.100000000000009</v>
      </c>
      <c r="BT46" s="392">
        <f>100*(1-((BG46*BH46)/(AVERAGE(D43,D35,D31)*AVERAGE(E43,E35,E31))))</f>
        <v>46.195256450195522</v>
      </c>
      <c r="BU46" s="389">
        <f>100*100*((AVERAGE(E43,E35,E31)-BH46)/((100-BH46)*AVERAGE(E43,E35,E31)))</f>
        <v>51.827936107200074</v>
      </c>
      <c r="BV46" s="318">
        <v>7.24</v>
      </c>
      <c r="BW46" s="365">
        <v>48.8</v>
      </c>
      <c r="BX46" s="319">
        <v>298</v>
      </c>
      <c r="BY46" s="280">
        <f t="shared" si="27"/>
        <v>30.422535211267604</v>
      </c>
      <c r="BZ46" s="280">
        <f t="shared" si="28"/>
        <v>24.521296296296299</v>
      </c>
      <c r="CA46" s="319">
        <v>241</v>
      </c>
      <c r="CB46" s="301">
        <f t="shared" si="23"/>
        <v>14980.253124999999</v>
      </c>
      <c r="CC46" s="285">
        <f t="shared" si="13"/>
        <v>559.72711267605632</v>
      </c>
      <c r="CD46" s="289">
        <f t="shared" si="14"/>
        <v>23.321963028169012</v>
      </c>
      <c r="CE46" s="72">
        <f>CC46/(BY46*(AVERAGE(D$18,D$23,D$31,D$35,D$43))*AVERAGE(E$18,E$23,E$31,E$35,E$43)*0.0001)</f>
        <v>780.74125128775654</v>
      </c>
      <c r="CF46" s="313">
        <f>(CB46-CB35)/(AVERAGE(BY35:BY46)*((AVERAGE(D43,D35,D31)*AVERAGE(E43,E35,E31))-(BG46*BH46))*0.0001*(SUM(C35:C46)/24))</f>
        <v>2266.5439356682386</v>
      </c>
      <c r="CG46" s="143">
        <f>CC46/(BY46*AVERAGE(D$23,D$31,D$35,D$43)*0.01)</f>
        <v>617.91561712846351</v>
      </c>
      <c r="CH46" s="433">
        <f t="shared" si="15"/>
        <v>0.75030444058452594</v>
      </c>
      <c r="CI46" s="319">
        <v>69.599999999999994</v>
      </c>
      <c r="CJ46" s="319">
        <v>29.2</v>
      </c>
      <c r="CK46" s="319">
        <v>0</v>
      </c>
      <c r="CL46" s="319">
        <v>47</v>
      </c>
      <c r="CM46" s="319">
        <v>155</v>
      </c>
      <c r="CN46" s="336"/>
    </row>
    <row r="47" spans="1:93">
      <c r="A47" s="378">
        <f t="shared" si="24"/>
        <v>41202</v>
      </c>
      <c r="B47" s="307">
        <v>0.33333333333333331</v>
      </c>
      <c r="C47" s="304">
        <f t="shared" si="5"/>
        <v>24.5</v>
      </c>
      <c r="D47" s="65"/>
      <c r="E47" s="66"/>
      <c r="F47" s="66"/>
      <c r="G47" s="66"/>
      <c r="H47" s="66"/>
      <c r="I47" s="66"/>
      <c r="J47" s="86"/>
      <c r="K47" s="86"/>
      <c r="L47" s="63"/>
      <c r="M47" s="86"/>
      <c r="N47" s="66"/>
      <c r="O47" s="261"/>
      <c r="P47" s="424"/>
      <c r="Q47" s="424"/>
      <c r="R47" s="424"/>
      <c r="S47" s="86"/>
      <c r="T47" s="86"/>
      <c r="U47" s="86"/>
      <c r="V47" s="65"/>
      <c r="W47" s="66"/>
      <c r="X47" s="66"/>
      <c r="Y47" s="66"/>
      <c r="Z47" s="66"/>
      <c r="AA47" s="86"/>
      <c r="AB47" s="86"/>
      <c r="AC47" s="63"/>
      <c r="AD47" s="87"/>
      <c r="AE47" s="87"/>
      <c r="AF47" s="88"/>
      <c r="AG47" s="85"/>
      <c r="AH47" s="66"/>
      <c r="AI47" s="87"/>
      <c r="AJ47" s="63"/>
      <c r="AK47" s="65"/>
      <c r="AL47" s="66">
        <v>34.6</v>
      </c>
      <c r="AM47" s="66">
        <v>789</v>
      </c>
      <c r="AN47" s="89">
        <f t="shared" si="9"/>
        <v>61.361632653061228</v>
      </c>
      <c r="AO47" s="89">
        <f t="shared" si="29"/>
        <v>23.027418582375478</v>
      </c>
      <c r="AP47" s="66">
        <v>489</v>
      </c>
      <c r="AQ47" s="72">
        <f t="shared" si="22"/>
        <v>30581.146875000002</v>
      </c>
      <c r="AR47" s="72">
        <f t="shared" si="10"/>
        <v>1004.9602040816313</v>
      </c>
      <c r="AS47" s="143">
        <f t="shared" si="11"/>
        <v>41.873341836734632</v>
      </c>
      <c r="AT47" s="72">
        <f>AR47/(AN47*(AVERAGE(D$46,D$23,D$31,D$35,D$43))*AVERAGE(E$46,E$23,E$31,E$35,E$43)*0.0001)</f>
        <v>676.48062136804583</v>
      </c>
      <c r="AU47" s="143"/>
      <c r="AV47" s="143">
        <f>AR47/(AN47*AVERAGE(D$23,D$31,D$35:D$43,D$46)*0.01)</f>
        <v>528.99431629738456</v>
      </c>
      <c r="AW47" s="433">
        <f t="shared" si="12"/>
        <v>0.71122448979591746</v>
      </c>
      <c r="AX47" s="143"/>
      <c r="AY47" s="143"/>
      <c r="AZ47" s="143"/>
      <c r="BA47" s="143"/>
      <c r="BB47" s="66"/>
      <c r="BC47" s="90"/>
      <c r="BD47" s="91"/>
      <c r="BE47" s="147"/>
      <c r="BF47" s="64"/>
      <c r="BG47" s="65"/>
      <c r="BH47" s="66"/>
      <c r="BI47" s="66"/>
      <c r="BJ47" s="66"/>
      <c r="BK47" s="66"/>
      <c r="BL47" s="86"/>
      <c r="BM47" s="86"/>
      <c r="BN47" s="63"/>
      <c r="BO47" s="87"/>
      <c r="BP47" s="87"/>
      <c r="BQ47" s="88"/>
      <c r="BR47" s="85"/>
      <c r="BS47" s="64"/>
      <c r="BT47" s="66"/>
      <c r="BU47" s="67"/>
      <c r="BV47" s="65"/>
      <c r="BW47" s="66">
        <v>50.5</v>
      </c>
      <c r="BX47" s="66">
        <v>314</v>
      </c>
      <c r="BY47" s="280">
        <f t="shared" si="27"/>
        <v>31.346938775510207</v>
      </c>
      <c r="BZ47" s="280">
        <f t="shared" ref="BZ47:BZ54" si="30">CB$3/BY47</f>
        <v>23.798177083333332</v>
      </c>
      <c r="CA47" s="66">
        <v>250</v>
      </c>
      <c r="CB47" s="301">
        <f t="shared" si="23"/>
        <v>15532.206249999999</v>
      </c>
      <c r="CC47" s="285">
        <f t="shared" si="13"/>
        <v>540.6887755102041</v>
      </c>
      <c r="CD47" s="289">
        <f t="shared" si="14"/>
        <v>22.528698979591837</v>
      </c>
      <c r="CE47" s="72">
        <f>CC47/(BY47*(AVERAGE(D$46,D$23,D$31,D$35,D$43))*AVERAGE(E$46,E$23,E$31,E$35,E$43)*0.0001)</f>
        <v>712.45201739308732</v>
      </c>
      <c r="CF47" s="143"/>
      <c r="CG47" s="143">
        <f>CC47/(BY47*AVERAGE(D$23,D$31,D$35,D$43,D$46)*0.01)</f>
        <v>557.1232285610464</v>
      </c>
      <c r="CH47" s="433">
        <f t="shared" si="15"/>
        <v>0.72478388138097061</v>
      </c>
      <c r="CI47" s="143"/>
      <c r="CJ47" s="143"/>
      <c r="CK47" s="143"/>
      <c r="CL47" s="143"/>
      <c r="CM47" s="66"/>
      <c r="CN47" s="68"/>
      <c r="CO47" s="3"/>
    </row>
    <row r="48" spans="1:93" ht="28.5">
      <c r="A48" s="378">
        <f t="shared" si="24"/>
        <v>41203</v>
      </c>
      <c r="B48" s="307">
        <f>B47</f>
        <v>0.33333333333333331</v>
      </c>
      <c r="C48" s="304">
        <f t="shared" si="5"/>
        <v>24</v>
      </c>
      <c r="D48" s="65"/>
      <c r="E48" s="66"/>
      <c r="F48" s="72"/>
      <c r="G48" s="66"/>
      <c r="H48" s="66"/>
      <c r="I48" s="66"/>
      <c r="J48" s="86"/>
      <c r="K48" s="86"/>
      <c r="L48" s="63"/>
      <c r="M48" s="432">
        <v>80</v>
      </c>
      <c r="N48" s="66">
        <v>80</v>
      </c>
      <c r="O48" s="115">
        <f>(N46-M48)*N$4/(C48+C47)</f>
        <v>0.41435051546391755</v>
      </c>
      <c r="P48" s="424"/>
      <c r="Q48" s="424"/>
      <c r="R48" s="424"/>
      <c r="S48" s="86">
        <v>58</v>
      </c>
      <c r="T48" s="86">
        <v>5</v>
      </c>
      <c r="U48" s="86"/>
      <c r="V48" s="65"/>
      <c r="W48" s="66"/>
      <c r="X48" s="72"/>
      <c r="Y48" s="66"/>
      <c r="Z48" s="72"/>
      <c r="AA48" s="256"/>
      <c r="AB48" s="256"/>
      <c r="AC48" s="63"/>
      <c r="AD48" s="87"/>
      <c r="AE48" s="87"/>
      <c r="AF48" s="88"/>
      <c r="AG48" s="85"/>
      <c r="AH48" s="71"/>
      <c r="AI48" s="83"/>
      <c r="AJ48" s="95"/>
      <c r="AK48" s="66"/>
      <c r="AL48" s="66">
        <v>34.6</v>
      </c>
      <c r="AM48" s="66">
        <v>817</v>
      </c>
      <c r="AN48" s="89">
        <f t="shared" si="9"/>
        <v>60.480000000000004</v>
      </c>
      <c r="AO48" s="89">
        <f t="shared" si="29"/>
        <v>23.363095238095237</v>
      </c>
      <c r="AP48" s="66">
        <v>507</v>
      </c>
      <c r="AQ48" s="72">
        <f t="shared" si="22"/>
        <v>31667.390625000004</v>
      </c>
      <c r="AR48" s="72">
        <f t="shared" si="10"/>
        <v>1086.2437500000015</v>
      </c>
      <c r="AS48" s="143">
        <f t="shared" si="11"/>
        <v>45.260156250000058</v>
      </c>
      <c r="AT48" s="72">
        <f>AR48/(AN48*(AVERAGE(D$46,D$23,D$31,D$35,D$43))*AVERAGE(E$46,E$23,E$31,E$35,E$43)*0.0001)</f>
        <v>741.85479906327919</v>
      </c>
      <c r="AU48" s="66"/>
      <c r="AV48" s="143">
        <f>AR48/(AN48*AVERAGE(D$23,D$31,D$35:D$43,D$46)*0.01)</f>
        <v>580.11561577150314</v>
      </c>
      <c r="AW48" s="433">
        <f t="shared" si="12"/>
        <v>0.76875000000000104</v>
      </c>
      <c r="AX48" s="66"/>
      <c r="AY48" s="66"/>
      <c r="AZ48" s="66"/>
      <c r="BA48" s="66"/>
      <c r="BB48" s="66"/>
      <c r="BC48" s="102"/>
      <c r="BD48" s="64">
        <v>30</v>
      </c>
      <c r="BE48" s="147">
        <v>30</v>
      </c>
      <c r="BF48" s="64"/>
      <c r="BG48" s="65"/>
      <c r="BH48" s="66"/>
      <c r="BI48" s="72"/>
      <c r="BJ48" s="66"/>
      <c r="BK48" s="72"/>
      <c r="BL48" s="86"/>
      <c r="BM48" s="86"/>
      <c r="BN48" s="63"/>
      <c r="BO48" s="87"/>
      <c r="BP48" s="87"/>
      <c r="BQ48" s="88"/>
      <c r="BR48" s="85"/>
      <c r="BS48" s="92"/>
      <c r="BT48" s="71"/>
      <c r="BU48" s="96"/>
      <c r="BV48" s="143"/>
      <c r="BW48" s="89">
        <v>50.5</v>
      </c>
      <c r="BX48" s="143">
        <v>330</v>
      </c>
      <c r="BY48" s="280">
        <f t="shared" si="27"/>
        <v>32</v>
      </c>
      <c r="BZ48" s="280">
        <f t="shared" si="30"/>
        <v>23.3125</v>
      </c>
      <c r="CA48" s="66">
        <v>259</v>
      </c>
      <c r="CB48" s="301">
        <f t="shared" si="23"/>
        <v>16084.159374999999</v>
      </c>
      <c r="CC48" s="285">
        <f t="shared" si="13"/>
        <v>551.953125</v>
      </c>
      <c r="CD48" s="289">
        <f t="shared" si="14"/>
        <v>22.998046875</v>
      </c>
      <c r="CE48" s="72">
        <f>CC48/(BY48*(AVERAGE(D$46,D$23,D$31,D$35,D$43))*AVERAGE(E$46,E$23,E$31,E$35,E$43)*0.0001)</f>
        <v>712.45201739308732</v>
      </c>
      <c r="CF48" s="143"/>
      <c r="CG48" s="143">
        <f>CC48/(BY48*AVERAGE(D$23,D$31,D$35,D$43,D$46)*0.01)</f>
        <v>557.12322856104652</v>
      </c>
      <c r="CH48" s="433">
        <f t="shared" si="15"/>
        <v>0.73988354557640745</v>
      </c>
      <c r="CI48" s="143"/>
      <c r="CJ48" s="143"/>
      <c r="CK48" s="143"/>
      <c r="CL48" s="143"/>
      <c r="CM48" s="143"/>
      <c r="CN48" s="68" t="s">
        <v>101</v>
      </c>
      <c r="CO48" s="3"/>
    </row>
    <row r="49" spans="1:92">
      <c r="A49" s="378">
        <f t="shared" si="24"/>
        <v>41204</v>
      </c>
      <c r="B49" s="307">
        <f>B48</f>
        <v>0.33333333333333331</v>
      </c>
      <c r="C49" s="304">
        <f t="shared" si="5"/>
        <v>24</v>
      </c>
      <c r="D49" s="65"/>
      <c r="E49" s="66"/>
      <c r="F49" s="66"/>
      <c r="G49" s="66"/>
      <c r="H49" s="66"/>
      <c r="I49" s="66"/>
      <c r="J49" s="86"/>
      <c r="K49" s="86"/>
      <c r="L49" s="63"/>
      <c r="M49" s="86"/>
      <c r="N49" s="66"/>
      <c r="O49" s="261"/>
      <c r="P49" s="424"/>
      <c r="Q49" s="424"/>
      <c r="R49" s="424"/>
      <c r="S49" s="86"/>
      <c r="T49" s="86"/>
      <c r="U49" s="86"/>
      <c r="V49" s="65"/>
      <c r="W49" s="66"/>
      <c r="X49" s="66"/>
      <c r="Y49" s="66"/>
      <c r="Z49" s="66"/>
      <c r="AA49" s="86"/>
      <c r="AB49" s="86"/>
      <c r="AC49" s="63"/>
      <c r="AD49" s="87"/>
      <c r="AE49" s="87"/>
      <c r="AF49" s="88"/>
      <c r="AG49" s="85"/>
      <c r="AH49" s="66"/>
      <c r="AI49" s="87"/>
      <c r="AJ49" s="63"/>
      <c r="AK49" s="66"/>
      <c r="AL49" s="66">
        <v>34.6</v>
      </c>
      <c r="AM49" s="66">
        <v>845</v>
      </c>
      <c r="AN49" s="89">
        <f t="shared" si="9"/>
        <v>60.480000000000004</v>
      </c>
      <c r="AO49" s="89">
        <f t="shared" si="29"/>
        <v>23.363095238095237</v>
      </c>
      <c r="AP49" s="66">
        <v>524</v>
      </c>
      <c r="AQ49" s="72">
        <f t="shared" si="22"/>
        <v>32693.287500000002</v>
      </c>
      <c r="AR49" s="72">
        <f t="shared" si="10"/>
        <v>1025.8968749999985</v>
      </c>
      <c r="AS49" s="143">
        <f t="shared" si="11"/>
        <v>42.745703124999942</v>
      </c>
      <c r="AT49" s="72">
        <f>AR49/(AN49*(AVERAGE(D$46,D$23,D$31,D$35,D$43))*AVERAGE(E$46,E$23,E$31,E$35,E$43)*0.0001)</f>
        <v>700.64064355976166</v>
      </c>
      <c r="AU49" s="66"/>
      <c r="AV49" s="143">
        <f>AR49/(AN49*AVERAGE(D$23,D$31,D$35:D$43,D$46)*0.01)</f>
        <v>547.88697045086258</v>
      </c>
      <c r="AW49" s="433">
        <f t="shared" si="12"/>
        <v>0.72604166666666559</v>
      </c>
      <c r="AX49" s="66"/>
      <c r="AY49" s="66"/>
      <c r="AZ49" s="66"/>
      <c r="BA49" s="66"/>
      <c r="BB49" s="66"/>
      <c r="BC49" s="102"/>
      <c r="BD49" s="64"/>
      <c r="BE49" s="147"/>
      <c r="BF49" s="64"/>
      <c r="BG49" s="65"/>
      <c r="BH49" s="66"/>
      <c r="BI49" s="66"/>
      <c r="BJ49" s="66"/>
      <c r="BK49" s="66"/>
      <c r="BL49" s="86"/>
      <c r="BM49" s="86"/>
      <c r="BN49" s="63"/>
      <c r="BO49" s="87"/>
      <c r="BP49" s="87"/>
      <c r="BQ49" s="88"/>
      <c r="BR49" s="85"/>
      <c r="BS49" s="64"/>
      <c r="BT49" s="66"/>
      <c r="BU49" s="67"/>
      <c r="BV49" s="143"/>
      <c r="BW49" s="89">
        <v>50.5</v>
      </c>
      <c r="BX49" s="143">
        <v>346</v>
      </c>
      <c r="BY49" s="280">
        <f t="shared" si="27"/>
        <v>32</v>
      </c>
      <c r="BZ49" s="280">
        <f t="shared" si="30"/>
        <v>23.3125</v>
      </c>
      <c r="CA49" s="66">
        <v>267</v>
      </c>
      <c r="CB49" s="301">
        <f t="shared" si="23"/>
        <v>16574.784374999999</v>
      </c>
      <c r="CC49" s="285">
        <f t="shared" si="13"/>
        <v>490.625</v>
      </c>
      <c r="CD49" s="289">
        <f t="shared" si="14"/>
        <v>20.442708333333332</v>
      </c>
      <c r="CE49" s="72">
        <f>CC49/(BY49*(AVERAGE(D$46,D$23,D$31,D$35,D$43))*AVERAGE(E$46,E$23,E$31,E$35,E$43)*0.0001)</f>
        <v>633.29068212718869</v>
      </c>
      <c r="CF49" s="143"/>
      <c r="CG49" s="143">
        <f>CC49/(BY49*AVERAGE(D$23,D$31,D$35,D$43,D$46)*0.01)</f>
        <v>495.22064760981908</v>
      </c>
      <c r="CH49" s="433">
        <f t="shared" si="15"/>
        <v>0.6576742627345844</v>
      </c>
      <c r="CI49" s="143"/>
      <c r="CJ49" s="143"/>
      <c r="CK49" s="143"/>
      <c r="CL49" s="143"/>
      <c r="CM49" s="143"/>
      <c r="CN49" s="68"/>
    </row>
    <row r="50" spans="1:92" s="337" customFormat="1">
      <c r="A50" s="309">
        <f t="shared" si="24"/>
        <v>41205</v>
      </c>
      <c r="B50" s="307">
        <f>B49</f>
        <v>0.33333333333333331</v>
      </c>
      <c r="C50" s="304">
        <f t="shared" si="5"/>
        <v>24</v>
      </c>
      <c r="D50" s="436">
        <v>4</v>
      </c>
      <c r="E50" s="319">
        <v>75.7</v>
      </c>
      <c r="F50" s="348">
        <v>53400</v>
      </c>
      <c r="G50" s="319"/>
      <c r="H50" s="319">
        <v>48</v>
      </c>
      <c r="I50" s="348">
        <v>3174</v>
      </c>
      <c r="J50" s="317">
        <v>700</v>
      </c>
      <c r="K50" s="317">
        <v>28.4</v>
      </c>
      <c r="L50" s="320">
        <v>247</v>
      </c>
      <c r="M50" s="317">
        <v>55</v>
      </c>
      <c r="N50" s="319">
        <v>85</v>
      </c>
      <c r="O50" s="115">
        <f>(N48-M50)*N$4/(C50+C49)</f>
        <v>2.6166666666666667</v>
      </c>
      <c r="P50" s="424"/>
      <c r="Q50" s="424"/>
      <c r="R50" s="424"/>
      <c r="S50" s="317"/>
      <c r="T50" s="317"/>
      <c r="U50" s="317"/>
      <c r="V50" s="318">
        <v>2.4</v>
      </c>
      <c r="W50" s="319">
        <v>67.599999999999994</v>
      </c>
      <c r="X50" s="348">
        <v>30600</v>
      </c>
      <c r="Y50" s="319">
        <v>36.299999999999997</v>
      </c>
      <c r="Z50" s="348">
        <v>1035</v>
      </c>
      <c r="AA50" s="348">
        <v>216</v>
      </c>
      <c r="AB50" s="317">
        <v>44.3</v>
      </c>
      <c r="AC50" s="320">
        <v>195</v>
      </c>
      <c r="AD50" s="391">
        <f>D46*(100-E46)/(100-W50)</f>
        <v>2.5562962962962961</v>
      </c>
      <c r="AE50" s="387">
        <f>D46-V50</f>
        <v>1.17</v>
      </c>
      <c r="AF50" s="393">
        <f>100*(AVERAGE(D46,D43,D35)-V50)/AVERAGE(D46,D43,D35)</f>
        <v>29.064039408866989</v>
      </c>
      <c r="AG50" s="393">
        <f>100*(1-((100-AVERAGE(E46,E43,E35))/(100-W50)))</f>
        <v>28.292181069958854</v>
      </c>
      <c r="AH50" s="387">
        <f>E46-W50</f>
        <v>9.2000000000000028</v>
      </c>
      <c r="AI50" s="393">
        <f>100*(1-((V50*W50)/(AVERAGE(D46,D43,D35,D50)*AVERAGE(E46,E43,E35,E50))))</f>
        <v>40.048499965357166</v>
      </c>
      <c r="AJ50" s="389">
        <f>100*100*((AVERAGE(E46,E43,E35)-W50)/((100-W50)*AVERAGE(E46,E43,E35)))</f>
        <v>36.854773430254703</v>
      </c>
      <c r="AK50" s="319"/>
      <c r="AL50" s="319">
        <v>34.6</v>
      </c>
      <c r="AM50" s="319">
        <v>873</v>
      </c>
      <c r="AN50" s="89">
        <f t="shared" si="9"/>
        <v>60.480000000000004</v>
      </c>
      <c r="AO50" s="89">
        <f t="shared" si="29"/>
        <v>23.363095238095237</v>
      </c>
      <c r="AP50" s="319">
        <v>541</v>
      </c>
      <c r="AQ50" s="313">
        <f t="shared" si="22"/>
        <v>33719.184374999997</v>
      </c>
      <c r="AR50" s="72">
        <f t="shared" si="10"/>
        <v>1025.8968749999949</v>
      </c>
      <c r="AS50" s="143">
        <f t="shared" si="11"/>
        <v>42.745703124999785</v>
      </c>
      <c r="AT50" s="72">
        <f>AR50/(AN50*(AVERAGE(D$46,D$23,D$31,D$35,D$43))*AVERAGE(E$46,E$23,E$31,E$35,E$43)*0.0001)</f>
        <v>700.64064355975927</v>
      </c>
      <c r="AU50" s="313">
        <f>(AQ50-AQ31)/(AVERAGE(AN31:AN50)*((AVERAGE(D46,D43,D35,D31)*AVERAGE(E46,E43,E35,E31))-(V50*W50))*0.0001*(SUM(C31:C50)/24))</f>
        <v>2080.6135005866045</v>
      </c>
      <c r="AV50" s="143">
        <f>AR50/(AN50*AVERAGE(D$23,D$31,D$35:D$43,D$46)*0.01)</f>
        <v>547.88697045086064</v>
      </c>
      <c r="AW50" s="433">
        <f t="shared" si="12"/>
        <v>0.72604166666666303</v>
      </c>
      <c r="AX50" s="319"/>
      <c r="AY50" s="319"/>
      <c r="AZ50" s="319"/>
      <c r="BA50" s="319"/>
      <c r="BB50" s="319"/>
      <c r="BC50" s="415"/>
      <c r="BD50" s="368"/>
      <c r="BE50" s="330"/>
      <c r="BF50" s="368"/>
      <c r="BG50" s="318">
        <v>2.2000000000000002</v>
      </c>
      <c r="BH50" s="319">
        <v>65.8</v>
      </c>
      <c r="BI50" s="348">
        <v>30700</v>
      </c>
      <c r="BJ50" s="319">
        <v>26.6</v>
      </c>
      <c r="BK50" s="348">
        <v>2821</v>
      </c>
      <c r="BL50" s="348">
        <v>521</v>
      </c>
      <c r="BM50" s="317">
        <v>62.2</v>
      </c>
      <c r="BN50" s="320">
        <v>135</v>
      </c>
      <c r="BO50" s="391">
        <f>D46*(100-E46)/(100-BH50)</f>
        <v>2.4217543859649124</v>
      </c>
      <c r="BP50" s="387">
        <f>D46-BG50</f>
        <v>1.3699999999999997</v>
      </c>
      <c r="BQ50" s="392">
        <f>100*(AVERAGE(D46,D43,D35)-BG50)/AVERAGE(D46,D43,D35)</f>
        <v>34.975369458128064</v>
      </c>
      <c r="BR50" s="393">
        <f>100*(1-((100-AVERAGE(E46,E43,E35))/(100-BH50)))</f>
        <v>32.06627680311891</v>
      </c>
      <c r="BS50" s="387">
        <f>E46-BH50</f>
        <v>11</v>
      </c>
      <c r="BT50" s="392">
        <f>100*(1-((BG50*BH50)/(AVERAGE(D46,D43,D35)*AVERAGE(E46,E43,E35))))</f>
        <v>44.264602392681198</v>
      </c>
      <c r="BU50" s="389">
        <f>100*100*((AVERAGE(E46,E43,E35)-BH50)/((100-BH50)*AVERAGE(E46,E43,E35)))</f>
        <v>41.771094402673356</v>
      </c>
      <c r="BV50" s="328"/>
      <c r="BW50" s="327">
        <v>50.5</v>
      </c>
      <c r="BX50" s="328">
        <v>362</v>
      </c>
      <c r="BY50" s="280">
        <f t="shared" si="27"/>
        <v>32</v>
      </c>
      <c r="BZ50" s="280">
        <f t="shared" si="30"/>
        <v>23.3125</v>
      </c>
      <c r="CA50" s="319">
        <v>276</v>
      </c>
      <c r="CB50" s="301">
        <f t="shared" si="23"/>
        <v>17126.737499999999</v>
      </c>
      <c r="CC50" s="285">
        <f t="shared" si="13"/>
        <v>551.953125</v>
      </c>
      <c r="CD50" s="289">
        <f t="shared" si="14"/>
        <v>22.998046875</v>
      </c>
      <c r="CE50" s="72">
        <f>CC50/(BY50*(AVERAGE(D$46,D$23,D$31,D$35,D$43))*AVERAGE(E$46,E$23,E$31,E$35,E$43)*0.0001)</f>
        <v>712.45201739308732</v>
      </c>
      <c r="CF50" s="313">
        <f>(CB50-CB30)/(AVERAGE(BY30:BY50)*((AVERAGE(D31,D46,D43,D35)*AVERAGE(E31,E46,E43,E35))-(BG50*BH50))*0.0001*(SUM(C30:C50)/24))</f>
        <v>2377.452059559143</v>
      </c>
      <c r="CG50" s="143">
        <f>CC50/(BY50*AVERAGE(D$23,D$31,D$35,D$43,D$46)*0.01)</f>
        <v>557.12322856104652</v>
      </c>
      <c r="CH50" s="433">
        <f t="shared" si="15"/>
        <v>0.73988354557640745</v>
      </c>
      <c r="CI50" s="328"/>
      <c r="CJ50" s="328"/>
      <c r="CK50" s="328"/>
      <c r="CL50" s="328"/>
      <c r="CM50" s="328"/>
      <c r="CN50" s="336"/>
    </row>
    <row r="51" spans="1:92" s="337" customFormat="1" ht="71.25">
      <c r="A51" s="309">
        <f t="shared" si="24"/>
        <v>41206</v>
      </c>
      <c r="B51" s="310">
        <f>B46</f>
        <v>0.3125</v>
      </c>
      <c r="C51" s="304">
        <f t="shared" si="5"/>
        <v>23.5</v>
      </c>
      <c r="D51" s="339">
        <v>3.65</v>
      </c>
      <c r="E51" s="365">
        <v>78.209999999999994</v>
      </c>
      <c r="F51" s="319"/>
      <c r="G51" s="319">
        <v>5.77</v>
      </c>
      <c r="H51" s="319"/>
      <c r="I51" s="319"/>
      <c r="J51" s="317"/>
      <c r="K51" s="317"/>
      <c r="L51" s="320"/>
      <c r="M51" s="317">
        <v>70</v>
      </c>
      <c r="N51" s="319"/>
      <c r="O51" s="414">
        <f>(N50-M51)*N$4/(C51+6.5)</f>
        <v>2.512</v>
      </c>
      <c r="P51" s="424"/>
      <c r="Q51" s="424"/>
      <c r="R51" s="424"/>
      <c r="S51" s="317">
        <v>61</v>
      </c>
      <c r="T51" s="317">
        <v>5</v>
      </c>
      <c r="U51" s="317"/>
      <c r="V51" s="339">
        <v>2.21</v>
      </c>
      <c r="W51" s="365">
        <v>68.2</v>
      </c>
      <c r="X51" s="319"/>
      <c r="Y51" s="319"/>
      <c r="Z51" s="319"/>
      <c r="AA51" s="317"/>
      <c r="AB51" s="317"/>
      <c r="AC51" s="320"/>
      <c r="AD51" s="391">
        <f>D46*(100-E46)/(100-W51)</f>
        <v>2.6045283018867931</v>
      </c>
      <c r="AE51" s="387">
        <f>D46-V51</f>
        <v>1.3599999999999999</v>
      </c>
      <c r="AF51" s="393">
        <f>100*(AVERAGE(D46,D43,D35,D50)-V51)/AVERAGE(D46,D43,D35,D50)</f>
        <v>37.526501766784449</v>
      </c>
      <c r="AG51" s="393">
        <f>100*(1-((100-AVERAGE(E46,E43,E35,E50))/(100-W51)))</f>
        <v>26.100628930817603</v>
      </c>
      <c r="AH51" s="387">
        <f>E46-W51</f>
        <v>8.5999999999999943</v>
      </c>
      <c r="AI51" s="393">
        <f>100*(1-((V51*W51)/(AVERAGE(D46,D43,D35,D50)*AVERAGE(E46,E43,E35))))</f>
        <v>44.498142689900554</v>
      </c>
      <c r="AJ51" s="389">
        <f>100*100*((AVERAGE(E46,E43,E35,E50)-W51)/((100-W51)*AVERAGE(E46,E43,E35,E50)))</f>
        <v>34.118469190611243</v>
      </c>
      <c r="AK51" s="319">
        <v>7.04</v>
      </c>
      <c r="AL51" s="365">
        <v>33.4</v>
      </c>
      <c r="AM51" s="319">
        <v>901</v>
      </c>
      <c r="AN51" s="89">
        <f t="shared" si="9"/>
        <v>61.766808510638306</v>
      </c>
      <c r="AO51" s="89">
        <f t="shared" si="29"/>
        <v>22.876364087301585</v>
      </c>
      <c r="AP51" s="319">
        <v>558</v>
      </c>
      <c r="AQ51" s="313">
        <f t="shared" si="22"/>
        <v>34745.081250000003</v>
      </c>
      <c r="AR51" s="72">
        <f t="shared" si="10"/>
        <v>1047.7244680851124</v>
      </c>
      <c r="AS51" s="143">
        <f t="shared" si="11"/>
        <v>43.655186170213014</v>
      </c>
      <c r="AT51" s="72">
        <f>AR51/(AN51*(AVERAGE(D$46,D$23,D$31,D$35,D$43,D$50))*AVERAGE(E$46,E$23,E$31,E$35,E$43,E$50)*0.0001)</f>
        <v>671.70251980109742</v>
      </c>
      <c r="AU51" s="313">
        <f>(AQ51-AQ32)/(AVERAGE(AN32:AN51)*((AVERAGE(D51,D46,D43,D35,D31)*AVERAGE(E51,E46,E43,E35,E31))-(V51*W51))*0.0001*(SUM(C31:C51)/24))</f>
        <v>1605.2587578367541</v>
      </c>
      <c r="AV51" s="143">
        <f>AR51/(AN51*AVERAGE(D$23,D$31,D$35:D$43,D$46,D$50)*0.01)</f>
        <v>522.46141494329027</v>
      </c>
      <c r="AW51" s="433">
        <f t="shared" si="12"/>
        <v>0.74148936170213198</v>
      </c>
      <c r="AX51" s="319">
        <v>69.400000000000006</v>
      </c>
      <c r="AY51" s="319">
        <v>30.5</v>
      </c>
      <c r="AZ51" s="319">
        <v>0</v>
      </c>
      <c r="BA51" s="319">
        <v>30</v>
      </c>
      <c r="BB51" s="319">
        <v>95</v>
      </c>
      <c r="BC51" s="320"/>
      <c r="BD51" s="368">
        <v>52</v>
      </c>
      <c r="BE51" s="330">
        <v>5</v>
      </c>
      <c r="BF51" s="368"/>
      <c r="BG51" s="339">
        <v>1.99</v>
      </c>
      <c r="BH51" s="365">
        <v>66.23</v>
      </c>
      <c r="BI51" s="319"/>
      <c r="BJ51" s="319"/>
      <c r="BK51" s="319"/>
      <c r="BL51" s="317"/>
      <c r="BM51" s="317"/>
      <c r="BN51" s="320"/>
      <c r="BO51" s="391">
        <f>D50*(100-E50)/(100-BH51)</f>
        <v>2.8782943440923896</v>
      </c>
      <c r="BP51" s="387">
        <f>D50-BG51</f>
        <v>2.0099999999999998</v>
      </c>
      <c r="BQ51" s="392">
        <f>100*(AVERAGE(D46,D43,D35,D50)-BG51)/AVERAGE(D46,D43,D35,D50)</f>
        <v>43.745583038869256</v>
      </c>
      <c r="BR51" s="393">
        <f>100*(1-((100-AVERAGE(E46,E43,E35,E50))/(100-BH51)))</f>
        <v>30.4116079360379</v>
      </c>
      <c r="BS51" s="387">
        <f>E50-BH51</f>
        <v>9.4699999999999989</v>
      </c>
      <c r="BT51" s="392">
        <f>100*(1-((BG51*BH51)/(AVERAGE(D46,D43,D35,D50)*AVERAGE(E46,E43,E35,E50))))</f>
        <v>51.297646596919087</v>
      </c>
      <c r="BU51" s="389">
        <f>100*100*((AVERAGE(E46,E43,E35,E50)-BH51)/((100-BH51)*AVERAGE(E46,E43,E35,E50)))</f>
        <v>39.753735864101827</v>
      </c>
      <c r="BV51" s="327">
        <v>7.24</v>
      </c>
      <c r="BW51" s="327">
        <v>48.4</v>
      </c>
      <c r="BX51" s="328">
        <v>369</v>
      </c>
      <c r="BY51" s="435">
        <f t="shared" si="27"/>
        <v>14.297872340425533</v>
      </c>
      <c r="BZ51" s="435">
        <f t="shared" si="30"/>
        <v>52.175595238095234</v>
      </c>
      <c r="CA51" s="319">
        <v>284</v>
      </c>
      <c r="CB51" s="301">
        <f t="shared" si="23"/>
        <v>17617.362499999999</v>
      </c>
      <c r="CC51" s="285">
        <f t="shared" si="13"/>
        <v>501.06382978723406</v>
      </c>
      <c r="CD51" s="289">
        <f t="shared" si="14"/>
        <v>20.877659574468087</v>
      </c>
      <c r="CE51" s="72">
        <f>CC51/(BY51*(AVERAGE(D$46,D$23,D$31,D$35,D$43))*AVERAGE(E$46,E$23,E$31,E$35,E$43)*0.0001)</f>
        <v>1447.52155914786</v>
      </c>
      <c r="CF51" s="313">
        <f>(CB51-CB31)/(AVERAGE(BY31:BY51)*((AVERAGE(D31,D46,D43,D35,D50)*AVERAGE(E31,E46,E43,E35,E50))-(BG51*BH51))*0.0001*(SUM(C31:C51)/24))</f>
        <v>1869.8122624758219</v>
      </c>
      <c r="CG51" s="72">
        <f>CC51/(BY51*AVERAGE(D$23,D$31,D$35,D$43,D$46,D$50)*0.01)</f>
        <v>1079.4037841009094</v>
      </c>
      <c r="CH51" s="433">
        <f t="shared" si="15"/>
        <v>0.67166733215446928</v>
      </c>
      <c r="CI51" s="328">
        <v>68.400000000000006</v>
      </c>
      <c r="CJ51" s="328">
        <v>30</v>
      </c>
      <c r="CK51" s="328">
        <v>0</v>
      </c>
      <c r="CL51" s="328">
        <v>59</v>
      </c>
      <c r="CM51" s="328">
        <v>145</v>
      </c>
      <c r="CN51" s="68" t="s">
        <v>102</v>
      </c>
    </row>
    <row r="52" spans="1:92">
      <c r="A52" s="378">
        <f t="shared" si="24"/>
        <v>41207</v>
      </c>
      <c r="B52" s="307">
        <v>0.33333333333333331</v>
      </c>
      <c r="C52" s="304">
        <f t="shared" si="5"/>
        <v>24.5</v>
      </c>
      <c r="D52" s="65"/>
      <c r="E52" s="66"/>
      <c r="F52" s="66"/>
      <c r="G52" s="66"/>
      <c r="H52" s="66"/>
      <c r="I52" s="66"/>
      <c r="J52" s="86"/>
      <c r="K52" s="86"/>
      <c r="L52" s="63"/>
      <c r="M52" s="86"/>
      <c r="N52" s="66"/>
      <c r="O52" s="261"/>
      <c r="P52" s="424"/>
      <c r="Q52" s="424"/>
      <c r="R52" s="424"/>
      <c r="S52" s="86"/>
      <c r="T52" s="86"/>
      <c r="U52" s="86"/>
      <c r="V52" s="65"/>
      <c r="W52" s="66"/>
      <c r="X52" s="66"/>
      <c r="Y52" s="66"/>
      <c r="Z52" s="66"/>
      <c r="AA52" s="86"/>
      <c r="AB52" s="86"/>
      <c r="AC52" s="63"/>
      <c r="AD52" s="87"/>
      <c r="AE52" s="87"/>
      <c r="AF52" s="88"/>
      <c r="AG52" s="85"/>
      <c r="AH52" s="66"/>
      <c r="AI52" s="87"/>
      <c r="AJ52" s="63"/>
      <c r="AK52" s="66"/>
      <c r="AL52" s="66">
        <v>34.6</v>
      </c>
      <c r="AM52" s="66">
        <v>929</v>
      </c>
      <c r="AN52" s="89">
        <f>(AM52-AM51)*AQ$1/((C52)/24)</f>
        <v>59.245714285714293</v>
      </c>
      <c r="AO52" s="89">
        <f>AQ$3/AN52</f>
        <v>23.849826388888886</v>
      </c>
      <c r="AP52" s="66">
        <v>576</v>
      </c>
      <c r="AQ52" s="72">
        <f t="shared" si="22"/>
        <v>35831.324999999997</v>
      </c>
      <c r="AR52" s="72">
        <f>(AQ52-AQ51)/(C52/24)</f>
        <v>1064.075510204076</v>
      </c>
      <c r="AS52" s="143">
        <f t="shared" ref="AS52:AS57" si="31">(AQ52-AQ51)/C52</f>
        <v>44.3364795918365</v>
      </c>
      <c r="AT52" s="72">
        <f>AR52/(AN52*(AVERAGE(D$46,D$23,D$31,D$35,D$43,D$50,D$51))*AVERAGE(E$46,E$23,E$31,E$35,E$43,E$50,E$51)*0.0001)</f>
        <v>698.26318893656207</v>
      </c>
      <c r="AU52" s="66"/>
      <c r="AV52" s="143">
        <f>AR52/(AN52*AVERAGE(D$23,D$31,D$35:D$43,D$46,D$50,D$51)*0.01)</f>
        <v>543.54801664504669</v>
      </c>
      <c r="AW52" s="433">
        <f t="shared" si="12"/>
        <v>0.75306122448979185</v>
      </c>
      <c r="AX52" s="66"/>
      <c r="AY52" s="66"/>
      <c r="AZ52" s="66"/>
      <c r="BA52" s="66"/>
      <c r="BB52" s="66"/>
      <c r="BC52" s="63"/>
      <c r="BD52" s="64"/>
      <c r="BE52" s="147"/>
      <c r="BF52" s="86"/>
      <c r="BG52" s="65"/>
      <c r="BH52" s="66"/>
      <c r="BI52" s="66"/>
      <c r="BJ52" s="66"/>
      <c r="BK52" s="66"/>
      <c r="BL52" s="86"/>
      <c r="BM52" s="86"/>
      <c r="BN52" s="63"/>
      <c r="BO52" s="87"/>
      <c r="BP52" s="87"/>
      <c r="BQ52" s="88"/>
      <c r="BR52" s="85"/>
      <c r="BS52" s="64"/>
      <c r="BT52" s="66"/>
      <c r="BU52" s="67"/>
      <c r="BV52" s="143"/>
      <c r="BW52" s="89">
        <v>50.4</v>
      </c>
      <c r="BX52" s="143">
        <v>394</v>
      </c>
      <c r="BY52" s="443">
        <f>(BX52-BX51)*CB$1/((C52)/24)</f>
        <v>48.979591836734699</v>
      </c>
      <c r="BZ52" s="435">
        <f t="shared" si="30"/>
        <v>15.230833333333331</v>
      </c>
      <c r="CA52" s="66">
        <v>293</v>
      </c>
      <c r="CB52" s="301">
        <f t="shared" si="23"/>
        <v>18169.315624999999</v>
      </c>
      <c r="CC52" s="285">
        <f>(CB52-CB51)/((C52/24))</f>
        <v>540.6887755102041</v>
      </c>
      <c r="CD52" s="289">
        <f>(CB52-CB51)/(C52)</f>
        <v>22.528698979591837</v>
      </c>
      <c r="CE52" s="72">
        <f>CC52/(BY52*(AVERAGE(D$46,D$23,D$31,D$35,D$43,D$50,D$51))*AVERAGE(E$46,E$23,E$31,E$35,E$43,E$50,E$51)*0.0001)</f>
        <v>429.17639905369418</v>
      </c>
      <c r="CF52" s="143"/>
      <c r="CG52" s="72">
        <f>CC52/(BY52*AVERAGE(D$23,D$31,D$35,D$43,D$46,D$50,D$51)*0.01)</f>
        <v>334.08317120622564</v>
      </c>
      <c r="CH52" s="433">
        <f t="shared" si="15"/>
        <v>0.72478388138097061</v>
      </c>
      <c r="CI52" s="143"/>
      <c r="CJ52" s="143"/>
      <c r="CK52" s="143"/>
      <c r="CL52" s="143"/>
      <c r="CM52" s="143"/>
      <c r="CN52" s="68"/>
    </row>
    <row r="53" spans="1:92">
      <c r="A53" s="378">
        <f t="shared" si="24"/>
        <v>41208</v>
      </c>
      <c r="B53" s="307">
        <v>0.375</v>
      </c>
      <c r="C53" s="304">
        <f t="shared" si="5"/>
        <v>25</v>
      </c>
      <c r="D53" s="65"/>
      <c r="E53" s="66"/>
      <c r="F53" s="66"/>
      <c r="G53" s="66"/>
      <c r="H53" s="66"/>
      <c r="I53" s="66"/>
      <c r="J53" s="86"/>
      <c r="K53" s="86"/>
      <c r="L53" s="63"/>
      <c r="M53" s="86"/>
      <c r="N53" s="66"/>
      <c r="O53" s="261"/>
      <c r="P53" s="424"/>
      <c r="Q53" s="424"/>
      <c r="R53" s="424"/>
      <c r="S53" s="86"/>
      <c r="T53" s="86"/>
      <c r="U53" s="86"/>
      <c r="V53" s="65"/>
      <c r="W53" s="66"/>
      <c r="X53" s="66"/>
      <c r="Y53" s="66"/>
      <c r="Z53" s="66"/>
      <c r="AA53" s="86"/>
      <c r="AB53" s="86"/>
      <c r="AC53" s="63"/>
      <c r="AD53" s="87"/>
      <c r="AE53" s="87"/>
      <c r="AF53" s="88"/>
      <c r="AG53" s="85"/>
      <c r="AH53" s="66"/>
      <c r="AI53" s="87"/>
      <c r="AJ53" s="63"/>
      <c r="AK53" s="66"/>
      <c r="AL53" s="66">
        <v>34.5</v>
      </c>
      <c r="AM53" s="66">
        <v>957</v>
      </c>
      <c r="AN53" s="89">
        <f>(AM53-AM52)*AQ$1/((C53)/24)</f>
        <v>58.0608</v>
      </c>
      <c r="AO53" s="89">
        <f>AQ$3/AN53</f>
        <v>24.336557539682538</v>
      </c>
      <c r="AP53" s="66">
        <v>591</v>
      </c>
      <c r="AQ53" s="72">
        <f t="shared" si="22"/>
        <v>36736.528125000004</v>
      </c>
      <c r="AR53" s="72">
        <f>(AQ53-AQ52)/(C53/24)</f>
        <v>868.99500000000694</v>
      </c>
      <c r="AS53" s="143">
        <f t="shared" si="31"/>
        <v>36.208125000000294</v>
      </c>
      <c r="AT53" s="72">
        <f>AR53/(AN53*(AVERAGE(D$46,D$23,D$31,D$35,D$43,D$50,D$51))*AVERAGE(E$46,E$23,E$31,E$35,E$43,E$50,E$51)*0.0001)</f>
        <v>581.88599078047628</v>
      </c>
      <c r="AU53" s="66"/>
      <c r="AV53" s="143">
        <f>AR53/(AN53*AVERAGE(D$23,D$31,D$35:D$43,D$46,D$50,D$51)*0.01)</f>
        <v>452.95668053754503</v>
      </c>
      <c r="AW53" s="433">
        <f t="shared" si="12"/>
        <v>0.61500000000000488</v>
      </c>
      <c r="AX53" s="66"/>
      <c r="AY53" s="66"/>
      <c r="AZ53" s="66"/>
      <c r="BA53" s="66"/>
      <c r="BB53" s="66"/>
      <c r="BC53" s="102"/>
      <c r="BD53" s="64"/>
      <c r="BE53" s="147"/>
      <c r="BF53" s="86"/>
      <c r="BG53" s="65"/>
      <c r="BH53" s="66"/>
      <c r="BI53" s="66"/>
      <c r="BJ53" s="66"/>
      <c r="BK53" s="66"/>
      <c r="BL53" s="86"/>
      <c r="BM53" s="86"/>
      <c r="BN53" s="63"/>
      <c r="BO53" s="87"/>
      <c r="BP53" s="87"/>
      <c r="BQ53" s="88"/>
      <c r="BR53" s="85"/>
      <c r="BS53" s="64"/>
      <c r="BT53" s="66"/>
      <c r="BU53" s="67"/>
      <c r="BV53" s="143"/>
      <c r="BW53" s="89">
        <v>50.4</v>
      </c>
      <c r="BX53" s="143">
        <v>410</v>
      </c>
      <c r="BY53" s="443">
        <f>(BX53-BX52)*CB$1/((C53)/24)</f>
        <v>30.72</v>
      </c>
      <c r="BZ53" s="280">
        <f t="shared" si="30"/>
        <v>24.283854166666668</v>
      </c>
      <c r="CA53" s="66">
        <v>302</v>
      </c>
      <c r="CB53" s="301">
        <f t="shared" si="23"/>
        <v>18721.268749999999</v>
      </c>
      <c r="CC53" s="285">
        <f>(CB53-CB52)/((C53/24))</f>
        <v>529.875</v>
      </c>
      <c r="CD53" s="289">
        <f>(CB53-CB52)/(C53)</f>
        <v>22.078125</v>
      </c>
      <c r="CE53" s="72">
        <f>CC53/(BY53*(AVERAGE(D$46,D$23,D$31,D$35,D$43,D$50,D$51))*AVERAGE(E$46,E$23,E$31,E$35,E$43,E$50,E$51)*0.0001)</f>
        <v>670.58812352139716</v>
      </c>
      <c r="CF53" s="143"/>
      <c r="CG53" s="72">
        <f>CC53/(BY53*AVERAGE(D$23,D$31,D$35,D$43,D$46,D$50,D$51)*0.01)</f>
        <v>522.00495500972761</v>
      </c>
      <c r="CH53" s="433">
        <f t="shared" si="15"/>
        <v>0.71028820375335122</v>
      </c>
      <c r="CI53" s="143"/>
      <c r="CJ53" s="143"/>
      <c r="CK53" s="143"/>
      <c r="CL53" s="143"/>
      <c r="CM53" s="143"/>
      <c r="CN53" s="68"/>
    </row>
    <row r="54" spans="1:92" s="69" customFormat="1" ht="15" thickBot="1">
      <c r="A54" s="378">
        <f t="shared" si="24"/>
        <v>41209</v>
      </c>
      <c r="B54" s="307">
        <v>0.41666666666666702</v>
      </c>
      <c r="C54" s="304">
        <f t="shared" si="5"/>
        <v>25.000000000000007</v>
      </c>
      <c r="D54" s="65"/>
      <c r="E54" s="66"/>
      <c r="F54" s="66"/>
      <c r="G54" s="66"/>
      <c r="H54" s="66"/>
      <c r="I54" s="66"/>
      <c r="J54" s="86"/>
      <c r="K54" s="86"/>
      <c r="L54" s="63"/>
      <c r="M54" s="86"/>
      <c r="N54" s="66"/>
      <c r="O54" s="261"/>
      <c r="P54" s="424"/>
      <c r="Q54" s="424"/>
      <c r="R54" s="424"/>
      <c r="S54" s="86"/>
      <c r="T54" s="86"/>
      <c r="U54" s="86"/>
      <c r="V54" s="65"/>
      <c r="W54" s="66"/>
      <c r="X54" s="66"/>
      <c r="Y54" s="66"/>
      <c r="Z54" s="66"/>
      <c r="AA54" s="86"/>
      <c r="AB54" s="86"/>
      <c r="AC54" s="63"/>
      <c r="AD54" s="87"/>
      <c r="AE54" s="87"/>
      <c r="AF54" s="88"/>
      <c r="AG54" s="85"/>
      <c r="AH54" s="66"/>
      <c r="AI54" s="87"/>
      <c r="AJ54" s="63"/>
      <c r="AK54" s="66"/>
      <c r="AL54" s="66">
        <v>34.5</v>
      </c>
      <c r="AM54" s="66">
        <v>985</v>
      </c>
      <c r="AN54" s="89">
        <f>(AM54-AM53)*AQ$1/((C54)/24)</f>
        <v>58.060799999999986</v>
      </c>
      <c r="AO54" s="89">
        <f>AQ$3/AN54</f>
        <v>24.336557539682545</v>
      </c>
      <c r="AP54" s="66">
        <v>606</v>
      </c>
      <c r="AQ54" s="72">
        <f t="shared" si="22"/>
        <v>37641.731250000004</v>
      </c>
      <c r="AR54" s="72">
        <f>(AQ54-AQ53)/(C54/24)</f>
        <v>868.99499999999978</v>
      </c>
      <c r="AS54" s="143">
        <f t="shared" si="31"/>
        <v>36.208124999999988</v>
      </c>
      <c r="AT54" s="72">
        <f>AR54/(AN54*(AVERAGE(D$46,D$23,D$31,D$35,D$43,D$50,D$51))*AVERAGE(E$46,E$23,E$31,E$35,E$43,E$50,E$51)*0.0001)</f>
        <v>581.88599078047162</v>
      </c>
      <c r="AU54" s="66"/>
      <c r="AV54" s="143">
        <f>AR54/(AN54*AVERAGE(D$23,D$31,D$35:D$43,D$46,D$50,D$51)*0.01)</f>
        <v>452.95668053754139</v>
      </c>
      <c r="AW54" s="433">
        <f t="shared" si="12"/>
        <v>0.61499999999999988</v>
      </c>
      <c r="AX54" s="66"/>
      <c r="AY54" s="66"/>
      <c r="AZ54" s="66"/>
      <c r="BA54" s="66"/>
      <c r="BB54" s="66"/>
      <c r="BC54" s="94" t="s">
        <v>106</v>
      </c>
      <c r="BD54" s="64"/>
      <c r="BE54" s="147"/>
      <c r="BF54" s="86"/>
      <c r="BG54" s="97"/>
      <c r="BH54" s="98"/>
      <c r="BI54" s="98"/>
      <c r="BJ54" s="98"/>
      <c r="BK54" s="98"/>
      <c r="BL54" s="86"/>
      <c r="BM54" s="86"/>
      <c r="BN54" s="99"/>
      <c r="BO54" s="158"/>
      <c r="BP54" s="158"/>
      <c r="BQ54" s="171"/>
      <c r="BR54" s="172"/>
      <c r="BS54" s="156"/>
      <c r="BT54" s="98"/>
      <c r="BU54" s="100"/>
      <c r="BV54" s="143"/>
      <c r="BW54" s="89">
        <v>50.4</v>
      </c>
      <c r="BX54" s="181">
        <v>426</v>
      </c>
      <c r="BY54" s="443">
        <f>(BX54-BX53)*CB$1/((C54)/24)</f>
        <v>30.719999999999992</v>
      </c>
      <c r="BZ54" s="280">
        <f t="shared" si="30"/>
        <v>24.283854166666675</v>
      </c>
      <c r="CA54" s="98">
        <v>312</v>
      </c>
      <c r="CB54" s="301">
        <f t="shared" si="23"/>
        <v>19334.55</v>
      </c>
      <c r="CC54" s="285">
        <f>(CB54-CB53)/((C54/24))</f>
        <v>588.74999999999989</v>
      </c>
      <c r="CD54" s="289">
        <f>(CB54-CB53)/(C54)</f>
        <v>24.531249999999993</v>
      </c>
      <c r="CE54" s="72">
        <f>CC54/(BY54*(AVERAGE(D$46,D$23,D$31,D$35,D$43,D$50,D$51))*AVERAGE(E$46,E$23,E$31,E$35,E$43,E$50,E$51)*0.0001)</f>
        <v>745.0979150237747</v>
      </c>
      <c r="CF54" s="143"/>
      <c r="CG54" s="72">
        <f>CC54/(BY54*AVERAGE(D$23,D$31,D$35,D$43,D$46,D$50,D$51)*0.01)</f>
        <v>580.00550556636404</v>
      </c>
      <c r="CH54" s="433">
        <f t="shared" si="15"/>
        <v>0.78920911528150117</v>
      </c>
      <c r="CI54" s="143"/>
      <c r="CJ54" s="143"/>
      <c r="CK54" s="143"/>
      <c r="CL54" s="143"/>
      <c r="CM54" s="143"/>
      <c r="CN54" s="94" t="s">
        <v>106</v>
      </c>
    </row>
    <row r="55" spans="1:92" s="69" customFormat="1" ht="28.5">
      <c r="A55" s="378">
        <f t="shared" si="24"/>
        <v>41210</v>
      </c>
      <c r="B55" s="307">
        <v>0.45833333333333298</v>
      </c>
      <c r="C55" s="304">
        <f t="shared" si="5"/>
        <v>24.999999999999986</v>
      </c>
      <c r="D55" s="65"/>
      <c r="E55" s="66"/>
      <c r="F55" s="183"/>
      <c r="G55" s="66"/>
      <c r="H55" s="66"/>
      <c r="I55" s="72"/>
      <c r="J55" s="256"/>
      <c r="K55" s="256"/>
      <c r="L55" s="63"/>
      <c r="M55" s="86"/>
      <c r="N55" s="66"/>
      <c r="O55" s="261"/>
      <c r="P55" s="424"/>
      <c r="Q55" s="424"/>
      <c r="R55" s="424"/>
      <c r="S55" s="86"/>
      <c r="T55" s="86"/>
      <c r="U55" s="86"/>
      <c r="V55" s="65"/>
      <c r="W55" s="66"/>
      <c r="X55" s="76"/>
      <c r="Y55" s="66"/>
      <c r="Z55" s="76"/>
      <c r="AA55" s="256"/>
      <c r="AB55" s="256"/>
      <c r="AC55" s="63"/>
      <c r="AD55" s="93"/>
      <c r="AE55" s="83"/>
      <c r="AF55" s="88"/>
      <c r="AG55" s="85"/>
      <c r="AH55" s="75"/>
      <c r="AI55" s="83"/>
      <c r="AJ55" s="178"/>
      <c r="AK55" s="65"/>
      <c r="AL55" s="66">
        <v>34.5</v>
      </c>
      <c r="AM55" s="66">
        <v>0</v>
      </c>
      <c r="AN55" s="89"/>
      <c r="AO55" s="89"/>
      <c r="AP55" s="66">
        <v>3</v>
      </c>
      <c r="AQ55" s="180">
        <f>((AP55*AQ$2)+AQ$54)</f>
        <v>37822.771875000006</v>
      </c>
      <c r="AR55" s="72">
        <f>(AQ55-AQ54)/(C55/24)</f>
        <v>173.79900000000148</v>
      </c>
      <c r="AS55" s="444"/>
      <c r="AT55" s="72"/>
      <c r="AU55" s="85"/>
      <c r="AV55" s="143"/>
      <c r="AW55" s="433"/>
      <c r="AX55" s="66"/>
      <c r="AY55" s="66"/>
      <c r="AZ55" s="66"/>
      <c r="BA55" s="66"/>
      <c r="BB55" s="66"/>
      <c r="BC55" s="103" t="s">
        <v>107</v>
      </c>
      <c r="BD55" s="64"/>
      <c r="BE55" s="147"/>
      <c r="BF55" s="86"/>
      <c r="BG55" s="184"/>
      <c r="BH55" s="142"/>
      <c r="BI55" s="185"/>
      <c r="BJ55" s="142"/>
      <c r="BK55" s="185"/>
      <c r="BL55" s="256"/>
      <c r="BM55" s="256"/>
      <c r="BN55" s="186"/>
      <c r="BO55" s="187"/>
      <c r="BP55" s="188"/>
      <c r="BQ55" s="189"/>
      <c r="BR55" s="190"/>
      <c r="BS55" s="191"/>
      <c r="BT55" s="192"/>
      <c r="BU55" s="193"/>
      <c r="BV55" s="143"/>
      <c r="BW55" s="89">
        <v>50.5</v>
      </c>
      <c r="BX55" s="142">
        <v>0</v>
      </c>
      <c r="BY55" s="142"/>
      <c r="BZ55" s="142"/>
      <c r="CA55" s="142">
        <v>2</v>
      </c>
      <c r="CB55" s="185">
        <f>((CA55)*CB$2)+CB$54</f>
        <v>19457.206249999999</v>
      </c>
      <c r="CC55" s="285"/>
      <c r="CD55" s="289"/>
      <c r="CE55" s="72"/>
      <c r="CF55" s="143"/>
      <c r="CG55" s="72"/>
      <c r="CH55" s="433"/>
      <c r="CI55" s="143"/>
      <c r="CJ55" s="143"/>
      <c r="CK55" s="143"/>
      <c r="CL55" s="143"/>
      <c r="CM55" s="143"/>
      <c r="CN55" s="103" t="s">
        <v>107</v>
      </c>
    </row>
    <row r="56" spans="1:92" s="337" customFormat="1">
      <c r="A56" s="309">
        <f t="shared" si="24"/>
        <v>41211</v>
      </c>
      <c r="B56" s="307">
        <v>0.5</v>
      </c>
      <c r="C56" s="304">
        <f t="shared" si="5"/>
        <v>25.000000000000007</v>
      </c>
      <c r="D56" s="339">
        <v>2.06</v>
      </c>
      <c r="E56" s="365">
        <v>73.650000000000006</v>
      </c>
      <c r="F56" s="319"/>
      <c r="G56" s="319">
        <v>6.25</v>
      </c>
      <c r="H56" s="319"/>
      <c r="I56" s="319"/>
      <c r="J56" s="317"/>
      <c r="K56" s="317"/>
      <c r="L56" s="320"/>
      <c r="M56" s="317">
        <v>88</v>
      </c>
      <c r="N56" s="319">
        <v>88</v>
      </c>
      <c r="O56" s="316"/>
      <c r="P56" s="424"/>
      <c r="Q56" s="424"/>
      <c r="R56" s="424"/>
      <c r="S56" s="317">
        <v>34</v>
      </c>
      <c r="T56" s="317">
        <v>34</v>
      </c>
      <c r="U56" s="317"/>
      <c r="V56" s="339">
        <v>2.21</v>
      </c>
      <c r="W56" s="365">
        <v>64.89</v>
      </c>
      <c r="X56" s="319"/>
      <c r="Y56" s="319"/>
      <c r="Z56" s="319"/>
      <c r="AA56" s="317"/>
      <c r="AB56" s="317"/>
      <c r="AC56" s="320"/>
      <c r="AD56" s="391">
        <f>D51*(100-E51)/(100-W56)</f>
        <v>2.2652663058957567</v>
      </c>
      <c r="AE56" s="387">
        <f>D51-V56</f>
        <v>1.44</v>
      </c>
      <c r="AF56" s="393">
        <f>100*(AVERAGE(D51,D50,D46,D43)-V56)/AVERAGE(D51,D50,D46,D43)</f>
        <v>39.11845730027548</v>
      </c>
      <c r="AG56" s="393">
        <f>100*(1-((100-AVERAGE(E51,E50,E43,E46))/(100-W56)))</f>
        <v>34.071489604101416</v>
      </c>
      <c r="AH56" s="387">
        <f>E51-W56</f>
        <v>13.319999999999993</v>
      </c>
      <c r="AI56" s="393">
        <f>100*(1-((V56*W56)/(AVERAGE(D51,D50,D46,D56,D43)*AVERAGE(E51,E50,E46,E56,E43))))</f>
        <v>43.254403293916276</v>
      </c>
      <c r="AJ56" s="389">
        <f>100*100*((AVERAGE(E51,E50,E46,E43)-W56)/((100-W56)*AVERAGE(E51,E50,E46,E43)))</f>
        <v>44.333612574869235</v>
      </c>
      <c r="AK56" s="318">
        <v>7</v>
      </c>
      <c r="AL56" s="365">
        <v>34.700000000000003</v>
      </c>
      <c r="AM56" s="319">
        <v>0</v>
      </c>
      <c r="AN56" s="89"/>
      <c r="AO56" s="89"/>
      <c r="AP56" s="319">
        <v>12</v>
      </c>
      <c r="AQ56" s="441">
        <f>((AP56-AP$55)*AQ$2)+AQ$55</f>
        <v>38365.893750000003</v>
      </c>
      <c r="AR56" s="72">
        <f>(AQ56-AQ55)/(C56/24)</f>
        <v>521.39699999999709</v>
      </c>
      <c r="AS56" s="444"/>
      <c r="AT56" s="72"/>
      <c r="AU56" s="72"/>
      <c r="AV56" s="143"/>
      <c r="AW56" s="433">
        <f t="shared" si="12"/>
        <v>0.36899999999999794</v>
      </c>
      <c r="AX56" s="319">
        <v>67.900000000000006</v>
      </c>
      <c r="AY56" s="319">
        <v>31.9</v>
      </c>
      <c r="AZ56" s="319">
        <v>0</v>
      </c>
      <c r="BA56" s="319"/>
      <c r="BB56" s="319"/>
      <c r="BC56" s="320"/>
      <c r="BD56" s="368">
        <v>56</v>
      </c>
      <c r="BE56" s="330">
        <v>5</v>
      </c>
      <c r="BF56" s="317"/>
      <c r="BG56" s="339">
        <v>1.98</v>
      </c>
      <c r="BH56" s="365">
        <v>64.3</v>
      </c>
      <c r="BI56" s="319"/>
      <c r="BJ56" s="319"/>
      <c r="BK56" s="319"/>
      <c r="BL56" s="317"/>
      <c r="BM56" s="317"/>
      <c r="BN56" s="320"/>
      <c r="BO56" s="391">
        <f>D51*(100-E51)/(100-BH56)</f>
        <v>2.2278291316526615</v>
      </c>
      <c r="BP56" s="387">
        <f>D51-BG56</f>
        <v>1.67</v>
      </c>
      <c r="BQ56" s="392">
        <f>100*(AVERAGE(D51,D50,D46,D43)-BG56)/AVERAGE(D51,D50,D46,D43)</f>
        <v>45.454545454545453</v>
      </c>
      <c r="BR56" s="393">
        <f>100*(1-((100-AVERAGE(E51,E50,E46,E43))/(100-BH56)))</f>
        <v>35.161064425770292</v>
      </c>
      <c r="BS56" s="387">
        <f>E51-BH56</f>
        <v>13.909999999999997</v>
      </c>
      <c r="BT56" s="392">
        <f>100*(1-((BG56*BH56)/(AVERAGE(D51,D50,D43,D46)*AVERAGE(E51,E50,E43,E46))))</f>
        <v>54.363583132979066</v>
      </c>
      <c r="BU56" s="389">
        <f>100*100*((AVERAGE(E51,E50,E46,E43)-BH56)/((100-BH56)*AVERAGE(E51,E50,E46,E43)))</f>
        <v>45.75136062687654</v>
      </c>
      <c r="BV56" s="318">
        <v>7.24</v>
      </c>
      <c r="BW56" s="365">
        <v>46.5</v>
      </c>
      <c r="BX56" s="319">
        <v>0</v>
      </c>
      <c r="BY56" s="319"/>
      <c r="BZ56" s="319"/>
      <c r="CA56" s="319">
        <v>3</v>
      </c>
      <c r="CB56" s="313">
        <f>((CA56-CA$55)*CB$2)+CB$55</f>
        <v>19518.534374999999</v>
      </c>
      <c r="CC56" s="285"/>
      <c r="CD56" s="289"/>
      <c r="CE56" s="72"/>
      <c r="CF56" s="313">
        <f>(CB56-CB36)/(AVERAGE(BY36:BY56)*((AVERAGE(D43,D51,D50,D46)*AVERAGE(E43,E51,E50,E46))-(BG56*BH56))*0.0001*(SUM(C36:C56)/24))</f>
        <v>1156.0045793362474</v>
      </c>
      <c r="CG56" s="72"/>
      <c r="CH56" s="433"/>
      <c r="CI56" s="319">
        <v>72.099999999999994</v>
      </c>
      <c r="CJ56" s="319">
        <v>27.4</v>
      </c>
      <c r="CK56" s="319">
        <v>0</v>
      </c>
      <c r="CL56" s="319"/>
      <c r="CM56" s="319"/>
      <c r="CN56" s="442"/>
    </row>
    <row r="57" spans="1:92" s="337" customFormat="1">
      <c r="A57" s="309">
        <f t="shared" si="24"/>
        <v>41212</v>
      </c>
      <c r="B57" s="310">
        <v>0.33333333333333331</v>
      </c>
      <c r="C57" s="304">
        <f t="shared" si="5"/>
        <v>20</v>
      </c>
      <c r="D57" s="318">
        <v>2.1</v>
      </c>
      <c r="E57" s="319">
        <v>73.3</v>
      </c>
      <c r="F57" s="348">
        <v>29300</v>
      </c>
      <c r="G57" s="319"/>
      <c r="H57" s="319"/>
      <c r="I57" s="348">
        <v>2629</v>
      </c>
      <c r="J57" s="317"/>
      <c r="K57" s="317"/>
      <c r="L57" s="320"/>
      <c r="M57" s="317">
        <v>65</v>
      </c>
      <c r="N57" s="319">
        <v>65</v>
      </c>
      <c r="O57" s="414">
        <f>(N56-M57)*N$4/(C57)</f>
        <v>5.7776000000000005</v>
      </c>
      <c r="P57" s="424"/>
      <c r="Q57" s="424"/>
      <c r="R57" s="424"/>
      <c r="S57" s="317"/>
      <c r="T57" s="317"/>
      <c r="U57" s="317"/>
      <c r="V57" s="318">
        <v>2.2000000000000002</v>
      </c>
      <c r="W57" s="452">
        <v>65.3</v>
      </c>
      <c r="X57" s="348">
        <v>26900</v>
      </c>
      <c r="Y57" s="348"/>
      <c r="Z57" s="348">
        <v>1430</v>
      </c>
      <c r="AA57" s="348"/>
      <c r="AB57" s="315"/>
      <c r="AC57" s="320"/>
      <c r="AD57" s="391">
        <f>D51*(100-E51)/(100-W57)</f>
        <v>2.2920317002881849</v>
      </c>
      <c r="AE57" s="387">
        <f>D51-V57</f>
        <v>1.4499999999999997</v>
      </c>
      <c r="AF57" s="393">
        <f>100*(AVERAGE(D51,D50,D46,D56,D43,D35)-V57)/AVERAGE(D51,D50,D46,D56,D43,D35)</f>
        <v>33.534743202416919</v>
      </c>
      <c r="AG57" s="393">
        <f>100*(1-((100-AVERAGE(E51,E50,E46,E56,E43,E35))/(100-W57)))</f>
        <v>31.729106628242086</v>
      </c>
      <c r="AH57" s="387">
        <f>E51-W57</f>
        <v>12.909999999999997</v>
      </c>
      <c r="AI57" s="393">
        <f>100*(1-((V57*W57)/(AVERAGE(D51,D50,D46,D56,D43)*AVERAGE(E51,E50,E46,E43,E56))))</f>
        <v>43.154252530415285</v>
      </c>
      <c r="AJ57" s="389">
        <f>100*100*((AVERAGE(E51,E50,E46,E56,E43,E35)-W57)/((100-W57)*AVERAGE(E51,E50,E46,E56,E43,E35)))</f>
        <v>41.579225040285792</v>
      </c>
      <c r="AK57" s="318"/>
      <c r="AL57" s="319">
        <v>35.6</v>
      </c>
      <c r="AM57" s="319">
        <v>32</v>
      </c>
      <c r="AN57" s="89">
        <f>(AM57-AM56)*AQ$1/((C57)/24)</f>
        <v>82.944000000000003</v>
      </c>
      <c r="AO57" s="89">
        <f>AQ$3/AN57</f>
        <v>17.035590277777779</v>
      </c>
      <c r="AP57" s="319">
        <v>22</v>
      </c>
      <c r="AQ57" s="441">
        <f t="shared" ref="AQ57:AQ67" si="32">((AP57-AP$55)*AQ$2)+AQ$55</f>
        <v>38969.362500000003</v>
      </c>
      <c r="AR57" s="72">
        <f t="shared" ref="AR57:AR63" si="33">(AQ57-AQ56)/(C57/24)</f>
        <v>724.16250000000002</v>
      </c>
      <c r="AS57" s="161">
        <f t="shared" si="31"/>
        <v>30.173437499999999</v>
      </c>
      <c r="AT57" s="72">
        <f>AR57/(AN57*(AVERAGE(D$46,D$31,D$35,D$43,D$50,D$51,D$56))*AVERAGE(E$46,E$31,E$35,E$43,E$50,E$51,E$56)*0.0001)</f>
        <v>353.37421581122652</v>
      </c>
      <c r="AU57" s="441">
        <f>(AQ57-AQ35)/(AVERAGE(AN35:AN57)*((AVERAGE(D35,D57,D51,D50,D46,D43)*AVERAGE(E35,E57,E51,E50,E46,E43))-(V57*W57))*0.0001*(SUM(C35:C57)/24))</f>
        <v>1378.9215498224687</v>
      </c>
      <c r="AV57" s="143">
        <f>AR57/(AN57*AVERAGE(D$31,D$35:D$43,D$46,D$50,D$51,D$56)*0.01)</f>
        <v>274.55157287299096</v>
      </c>
      <c r="AW57" s="433">
        <f t="shared" si="12"/>
        <v>0.51250000000000007</v>
      </c>
      <c r="AX57" s="319"/>
      <c r="AY57" s="319"/>
      <c r="AZ57" s="319"/>
      <c r="BA57" s="319"/>
      <c r="BB57" s="319"/>
      <c r="BC57" s="320"/>
      <c r="BD57" s="368"/>
      <c r="BE57" s="330"/>
      <c r="BF57" s="317"/>
      <c r="BG57" s="453">
        <v>2</v>
      </c>
      <c r="BH57" s="454">
        <v>64.7</v>
      </c>
      <c r="BI57" s="348">
        <v>25400</v>
      </c>
      <c r="BJ57" s="348"/>
      <c r="BK57" s="348">
        <v>2322</v>
      </c>
      <c r="BL57" s="317"/>
      <c r="BM57" s="317"/>
      <c r="BN57" s="320"/>
      <c r="BO57" s="391">
        <f>D51*(100-E51)/(100-BH57)</f>
        <v>2.2530736543909353</v>
      </c>
      <c r="BP57" s="387">
        <f>D51-BG57</f>
        <v>1.65</v>
      </c>
      <c r="BQ57" s="392">
        <f>100*(AVERAGE(D51,D50,D46,D56,D43)-BG57)/AVERAGE(D51,D50,D46,D56,D43)</f>
        <v>39.686369119420995</v>
      </c>
      <c r="BR57" s="393">
        <f>100*(1-((100-AVERAGE(E51,E50,E46,E56,E43))/(100-BH57)))</f>
        <v>32.611898016997173</v>
      </c>
      <c r="BS57" s="387">
        <f>E51-BH57</f>
        <v>13.509999999999991</v>
      </c>
      <c r="BT57" s="392">
        <f>100*(1-((BG57*BH57)/(AVERAGE(D51,D50,D46,D56,D43)*AVERAGE(E51,E50,E46,E56,E43))))</f>
        <v>48.796883457021714</v>
      </c>
      <c r="BU57" s="389">
        <f>100*100*((AVERAGE(E51,E50,E46,E56,E43)-BH57)/((100-BH57)*AVERAGE(E51,E50,E46,E56,E43)))</f>
        <v>42.791027681988631</v>
      </c>
      <c r="BV57" s="318"/>
      <c r="BW57" s="319">
        <v>50.8</v>
      </c>
      <c r="BX57" s="319">
        <v>26</v>
      </c>
      <c r="BY57" s="443">
        <f>(BX57-BX56)*CB$1/((C57)/24)</f>
        <v>62.4</v>
      </c>
      <c r="BZ57" s="280">
        <f t="shared" ref="BZ57:BZ63" si="34">CB$3/BY57</f>
        <v>11.955128205128206</v>
      </c>
      <c r="CA57" s="319">
        <v>8</v>
      </c>
      <c r="CB57" s="313">
        <f t="shared" ref="CB57:CB78" si="35">((CA57-CA$55)*CB$2)+CB$55</f>
        <v>19825.174999999999</v>
      </c>
      <c r="CC57" s="285">
        <f t="shared" ref="CC57:CC63" si="36">(CB57-CB56)/((C57/24))</f>
        <v>367.96875</v>
      </c>
      <c r="CD57" s="289">
        <f t="shared" ref="CD57:CD63" si="37">(CB57-CB56)/(C57)</f>
        <v>15.33203125</v>
      </c>
      <c r="CE57" s="72">
        <f>CC57/(BY57*(AVERAGE(D$46,D$31,D$35,D$43,D$50,D$51,D$56))*AVERAGE(E$46,E$31,E$35,E$43,E$50,E$51,E$56)*0.0001)</f>
        <v>238.67676865298597</v>
      </c>
      <c r="CF57" s="313">
        <f>(CB57-CB37)/(AVERAGE(BY37:BY57)*((AVERAGE(D46,D56,D51,D50,D43)*AVERAGE(E46,E56,E51,E50,E43))-(BG57*BH57))*0.0001*(SUM(C37:C57)/24))</f>
        <v>1212.1463644959965</v>
      </c>
      <c r="CG57" s="72">
        <f>CC57/(BY57*AVERAGE(D$31,D$35,D$43,D$46,D$50,D$51,D$56)*0.01)</f>
        <v>185.43821057087567</v>
      </c>
      <c r="CH57" s="433">
        <f t="shared" si="15"/>
        <v>0.49325569705093836</v>
      </c>
      <c r="CI57" s="319"/>
      <c r="CJ57" s="319"/>
      <c r="CK57" s="319"/>
      <c r="CL57" s="319"/>
      <c r="CM57" s="319"/>
      <c r="CN57" s="445"/>
    </row>
    <row r="58" spans="1:92" s="94" customFormat="1">
      <c r="A58" s="378">
        <f t="shared" si="24"/>
        <v>41213</v>
      </c>
      <c r="B58" s="307">
        <v>0.33333333333333331</v>
      </c>
      <c r="C58" s="304">
        <f t="shared" si="5"/>
        <v>24</v>
      </c>
      <c r="D58" s="65"/>
      <c r="E58" s="66"/>
      <c r="F58" s="66"/>
      <c r="G58" s="66"/>
      <c r="H58" s="66"/>
      <c r="I58" s="66"/>
      <c r="J58" s="86"/>
      <c r="K58" s="86"/>
      <c r="L58" s="63"/>
      <c r="M58" s="86">
        <v>65</v>
      </c>
      <c r="N58" s="66">
        <v>85</v>
      </c>
      <c r="O58" s="414">
        <f>(N57-M58)*N$4/(C58+6.5)</f>
        <v>0</v>
      </c>
      <c r="P58" s="424"/>
      <c r="Q58" s="424"/>
      <c r="R58" s="424"/>
      <c r="S58" s="86"/>
      <c r="T58" s="86"/>
      <c r="U58" s="86"/>
      <c r="V58" s="65"/>
      <c r="W58" s="66"/>
      <c r="X58" s="66"/>
      <c r="Y58" s="66"/>
      <c r="Z58" s="66"/>
      <c r="AA58" s="86"/>
      <c r="AB58" s="86"/>
      <c r="AC58" s="63"/>
      <c r="AD58" s="87"/>
      <c r="AE58" s="87"/>
      <c r="AF58" s="88"/>
      <c r="AG58" s="85"/>
      <c r="AH58" s="66"/>
      <c r="AI58" s="87"/>
      <c r="AJ58" s="63"/>
      <c r="AK58" s="72"/>
      <c r="AL58" s="85">
        <v>35.6</v>
      </c>
      <c r="AM58" s="72">
        <v>59</v>
      </c>
      <c r="AN58" s="89">
        <f t="shared" ref="AN58:AN63" si="38">(AM58-AM57)*AQ$1/((C58)/24)</f>
        <v>58.320000000000007</v>
      </c>
      <c r="AO58" s="89">
        <f t="shared" ref="AO58:AO63" si="39">AQ$3/AN58</f>
        <v>24.228395061728392</v>
      </c>
      <c r="AP58" s="72">
        <v>32</v>
      </c>
      <c r="AQ58" s="180">
        <f t="shared" si="32"/>
        <v>39572.831250000003</v>
      </c>
      <c r="AR58" s="72">
        <f t="shared" si="33"/>
        <v>603.46875</v>
      </c>
      <c r="AS58" s="161">
        <f t="shared" ref="AS58:AS63" si="40">(AQ58-AQ57)/C58</f>
        <v>25.14453125</v>
      </c>
      <c r="AT58" s="72">
        <f t="shared" ref="AT58:AT63" si="41">AR58/(AN58*(AVERAGE(D$46,D$31,D$35,D$43,D$50,D$51,D$56,D$57))*AVERAGE(E$46,E$31,E$35,E$43,E$50,E$51,E$56,E$57)*0.0001)</f>
        <v>440.49622394609236</v>
      </c>
      <c r="AU58" s="72"/>
      <c r="AV58" s="143">
        <f t="shared" ref="AV58:AV63" si="42">AR58/(AN58*AVERAGE(D$31,D$35:D$43,D$46,D$50,D$51,D$56,D$57)*0.01)</f>
        <v>339.82081196321292</v>
      </c>
      <c r="AW58" s="433">
        <f t="shared" si="12"/>
        <v>0.42708333333333331</v>
      </c>
      <c r="AX58" s="72"/>
      <c r="AY58" s="72"/>
      <c r="AZ58" s="72"/>
      <c r="BA58" s="72"/>
      <c r="BB58" s="72"/>
      <c r="BC58" s="63"/>
      <c r="BD58" s="64"/>
      <c r="BE58" s="147"/>
      <c r="BF58" s="86"/>
      <c r="BG58" s="65"/>
      <c r="BH58" s="66"/>
      <c r="BI58" s="66"/>
      <c r="BJ58" s="66"/>
      <c r="BK58" s="66"/>
      <c r="BL58" s="86"/>
      <c r="BM58" s="86"/>
      <c r="BN58" s="63"/>
      <c r="BO58" s="87"/>
      <c r="BP58" s="87"/>
      <c r="BQ58" s="88"/>
      <c r="BR58" s="85"/>
      <c r="BS58" s="64"/>
      <c r="BT58" s="71"/>
      <c r="BU58" s="67"/>
      <c r="BV58" s="65"/>
      <c r="BW58" s="66">
        <v>50.9</v>
      </c>
      <c r="BX58" s="66">
        <v>42</v>
      </c>
      <c r="BY58" s="443">
        <f t="shared" ref="BY58:BY63" si="43">(BX58-BX57)*CB$1/((C58)/24)</f>
        <v>32</v>
      </c>
      <c r="BZ58" s="280">
        <f t="shared" si="34"/>
        <v>23.3125</v>
      </c>
      <c r="CA58" s="66">
        <v>13</v>
      </c>
      <c r="CB58" s="313">
        <f t="shared" si="35"/>
        <v>20131.815624999999</v>
      </c>
      <c r="CC58" s="285"/>
      <c r="CD58" s="289">
        <f t="shared" si="37"/>
        <v>12.776692708333334</v>
      </c>
      <c r="CE58" s="72"/>
      <c r="CF58" s="66"/>
      <c r="CG58" s="72"/>
      <c r="CH58" s="433"/>
      <c r="CI58" s="66"/>
      <c r="CJ58" s="66"/>
      <c r="CK58" s="66"/>
      <c r="CL58" s="66"/>
      <c r="CM58" s="66"/>
      <c r="CN58" s="105"/>
    </row>
    <row r="59" spans="1:92">
      <c r="A59" s="378">
        <f t="shared" si="24"/>
        <v>41214</v>
      </c>
      <c r="B59" s="307">
        <f t="shared" ref="B59:B76" si="44">B58</f>
        <v>0.33333333333333331</v>
      </c>
      <c r="C59" s="304">
        <f t="shared" si="5"/>
        <v>24</v>
      </c>
      <c r="D59" s="65"/>
      <c r="E59" s="66"/>
      <c r="F59" s="66"/>
      <c r="G59" s="66"/>
      <c r="H59" s="66"/>
      <c r="I59" s="66"/>
      <c r="J59" s="86"/>
      <c r="K59" s="86"/>
      <c r="L59" s="63"/>
      <c r="M59" s="86">
        <v>70</v>
      </c>
      <c r="N59" s="66">
        <v>70</v>
      </c>
      <c r="O59" s="414">
        <f>(N58-M59)*N$4/(C59-10.5)</f>
        <v>5.5822222222222218</v>
      </c>
      <c r="P59" s="424"/>
      <c r="Q59" s="424"/>
      <c r="R59" s="424"/>
      <c r="S59" s="86"/>
      <c r="T59" s="86"/>
      <c r="U59" s="86"/>
      <c r="V59" s="65"/>
      <c r="W59" s="66"/>
      <c r="X59" s="66"/>
      <c r="Y59" s="66"/>
      <c r="Z59" s="66"/>
      <c r="AA59" s="86"/>
      <c r="AB59" s="86"/>
      <c r="AC59" s="63"/>
      <c r="AD59" s="87"/>
      <c r="AE59" s="87"/>
      <c r="AF59" s="88"/>
      <c r="AG59" s="85"/>
      <c r="AH59" s="66"/>
      <c r="AI59" s="87"/>
      <c r="AJ59" s="63"/>
      <c r="AK59" s="65"/>
      <c r="AL59" s="66">
        <v>35.6</v>
      </c>
      <c r="AM59" s="66">
        <v>87</v>
      </c>
      <c r="AN59" s="89">
        <f t="shared" si="38"/>
        <v>60.480000000000004</v>
      </c>
      <c r="AO59" s="89">
        <f t="shared" si="39"/>
        <v>23.363095238095237</v>
      </c>
      <c r="AP59" s="66">
        <v>42</v>
      </c>
      <c r="AQ59" s="180">
        <f t="shared" si="32"/>
        <v>40176.300000000003</v>
      </c>
      <c r="AR59" s="72">
        <f t="shared" si="33"/>
        <v>603.46875</v>
      </c>
      <c r="AS59" s="161">
        <f t="shared" si="40"/>
        <v>25.14453125</v>
      </c>
      <c r="AT59" s="72">
        <f t="shared" si="41"/>
        <v>424.76421594801758</v>
      </c>
      <c r="AU59" s="66"/>
      <c r="AV59" s="143">
        <f t="shared" si="42"/>
        <v>327.6843543930982</v>
      </c>
      <c r="AW59" s="433">
        <f t="shared" si="12"/>
        <v>0.42708333333333331</v>
      </c>
      <c r="AX59" s="66"/>
      <c r="AY59" s="66"/>
      <c r="AZ59" s="66"/>
      <c r="BA59" s="66"/>
      <c r="BB59" s="66"/>
      <c r="BC59" s="63"/>
      <c r="BD59" s="64"/>
      <c r="BE59" s="147"/>
      <c r="BF59" s="86"/>
      <c r="BG59" s="65"/>
      <c r="BH59" s="66"/>
      <c r="BI59" s="66"/>
      <c r="BJ59" s="66"/>
      <c r="BK59" s="66"/>
      <c r="BL59" s="86"/>
      <c r="BM59" s="86"/>
      <c r="BN59" s="63"/>
      <c r="BO59" s="87"/>
      <c r="BP59" s="87"/>
      <c r="BQ59" s="88"/>
      <c r="BR59" s="85"/>
      <c r="BS59" s="64"/>
      <c r="BT59" s="66"/>
      <c r="BU59" s="67"/>
      <c r="BV59" s="65"/>
      <c r="BW59" s="66">
        <v>51.1</v>
      </c>
      <c r="BX59" s="66">
        <v>58</v>
      </c>
      <c r="BY59" s="443">
        <f t="shared" si="43"/>
        <v>32</v>
      </c>
      <c r="BZ59" s="280">
        <f t="shared" si="34"/>
        <v>23.3125</v>
      </c>
      <c r="CA59" s="66">
        <v>18</v>
      </c>
      <c r="CB59" s="313">
        <f t="shared" si="35"/>
        <v>20438.456249999999</v>
      </c>
      <c r="CC59" s="285"/>
      <c r="CD59" s="289">
        <f t="shared" si="37"/>
        <v>12.776692708333334</v>
      </c>
      <c r="CE59" s="72"/>
      <c r="CF59" s="66"/>
      <c r="CG59" s="72"/>
      <c r="CH59" s="433"/>
      <c r="CI59" s="66"/>
      <c r="CJ59" s="66"/>
      <c r="CK59" s="66"/>
      <c r="CL59" s="66"/>
      <c r="CM59" s="66"/>
      <c r="CN59" s="104"/>
    </row>
    <row r="60" spans="1:92">
      <c r="A60" s="378">
        <f t="shared" si="24"/>
        <v>41215</v>
      </c>
      <c r="B60" s="307">
        <f t="shared" si="44"/>
        <v>0.33333333333333331</v>
      </c>
      <c r="C60" s="304">
        <f t="shared" si="5"/>
        <v>24</v>
      </c>
      <c r="D60" s="65"/>
      <c r="E60" s="66"/>
      <c r="F60" s="66"/>
      <c r="G60" s="66"/>
      <c r="H60" s="66"/>
      <c r="I60" s="66"/>
      <c r="J60" s="86"/>
      <c r="K60" s="86"/>
      <c r="L60" s="63"/>
      <c r="M60" s="86">
        <v>60</v>
      </c>
      <c r="N60" s="66">
        <v>85</v>
      </c>
      <c r="O60" s="414">
        <f>(N59-M60)*N$4/(C60+2)</f>
        <v>1.9323076923076923</v>
      </c>
      <c r="P60" s="424"/>
      <c r="Q60" s="424"/>
      <c r="R60" s="424"/>
      <c r="S60" s="86"/>
      <c r="T60" s="86"/>
      <c r="U60" s="86"/>
      <c r="V60" s="65"/>
      <c r="W60" s="66"/>
      <c r="X60" s="66"/>
      <c r="Y60" s="66"/>
      <c r="Z60" s="66"/>
      <c r="AA60" s="86"/>
      <c r="AB60" s="86"/>
      <c r="AC60" s="63"/>
      <c r="AD60" s="87"/>
      <c r="AE60" s="87"/>
      <c r="AF60" s="88"/>
      <c r="AG60" s="85"/>
      <c r="AH60" s="66"/>
      <c r="AI60" s="87"/>
      <c r="AJ60" s="63"/>
      <c r="AK60" s="65"/>
      <c r="AL60" s="66">
        <v>35.6</v>
      </c>
      <c r="AM60" s="66">
        <v>115</v>
      </c>
      <c r="AN60" s="89">
        <f t="shared" si="38"/>
        <v>60.480000000000004</v>
      </c>
      <c r="AO60" s="89">
        <f t="shared" si="39"/>
        <v>23.363095238095237</v>
      </c>
      <c r="AP60" s="66">
        <v>55</v>
      </c>
      <c r="AQ60" s="180">
        <f t="shared" si="32"/>
        <v>40960.809375000004</v>
      </c>
      <c r="AR60" s="72">
        <f t="shared" si="33"/>
        <v>784.50937500000146</v>
      </c>
      <c r="AS60" s="161">
        <f t="shared" si="40"/>
        <v>32.687890625000058</v>
      </c>
      <c r="AT60" s="72">
        <f t="shared" si="41"/>
        <v>552.19348073242384</v>
      </c>
      <c r="AU60" s="66"/>
      <c r="AV60" s="143">
        <f t="shared" si="42"/>
        <v>425.98966071102848</v>
      </c>
      <c r="AW60" s="433">
        <f t="shared" si="12"/>
        <v>0.55520833333333441</v>
      </c>
      <c r="AX60" s="66"/>
      <c r="AY60" s="66"/>
      <c r="AZ60" s="66"/>
      <c r="BA60" s="66"/>
      <c r="BB60" s="66"/>
      <c r="BC60" s="63"/>
      <c r="BD60" s="64"/>
      <c r="BE60" s="147"/>
      <c r="BF60" s="86"/>
      <c r="BG60" s="65"/>
      <c r="BH60" s="66"/>
      <c r="BI60" s="66"/>
      <c r="BJ60" s="66"/>
      <c r="BK60" s="66"/>
      <c r="BL60" s="86"/>
      <c r="BM60" s="86"/>
      <c r="BN60" s="63"/>
      <c r="BO60" s="87"/>
      <c r="BP60" s="87"/>
      <c r="BQ60" s="88"/>
      <c r="BR60" s="85"/>
      <c r="BS60" s="64"/>
      <c r="BT60" s="66"/>
      <c r="BU60" s="67"/>
      <c r="BV60" s="65"/>
      <c r="BW60" s="66">
        <v>51.1</v>
      </c>
      <c r="BX60" s="448">
        <v>74</v>
      </c>
      <c r="BY60" s="456">
        <f t="shared" si="43"/>
        <v>32</v>
      </c>
      <c r="BZ60" s="456">
        <f t="shared" si="34"/>
        <v>23.3125</v>
      </c>
      <c r="CA60" s="455">
        <v>24</v>
      </c>
      <c r="CB60" s="449">
        <f t="shared" si="35"/>
        <v>20806.424999999999</v>
      </c>
      <c r="CC60" s="457">
        <f t="shared" si="36"/>
        <v>367.96875</v>
      </c>
      <c r="CD60" s="457">
        <f t="shared" si="37"/>
        <v>15.33203125</v>
      </c>
      <c r="CE60" s="72">
        <f>CC60/(BY60*(AVERAGE(D$46,D$31,D$35,D$43,D$50,D$51,D$56,D$57))*AVERAGE(E$46,E$31,E$35,E$43,E$50,E$51,E$56,E$57)*0.0001)</f>
        <v>489.51485862302036</v>
      </c>
      <c r="CF60" s="66"/>
      <c r="CG60" s="72">
        <f>CC60/(BY60*AVERAGE(D$31,D$35,D$43,D$46,D$50,D$51,D$56,D$57)*0.01)</f>
        <v>377.63623768472905</v>
      </c>
      <c r="CH60" s="433">
        <f t="shared" si="15"/>
        <v>0.49325569705093836</v>
      </c>
      <c r="CI60" s="66"/>
      <c r="CJ60" s="66"/>
      <c r="CK60" s="66"/>
      <c r="CL60" s="66"/>
      <c r="CM60" s="66"/>
      <c r="CN60" s="446" t="s">
        <v>108</v>
      </c>
    </row>
    <row r="61" spans="1:92">
      <c r="A61" s="378">
        <f t="shared" si="24"/>
        <v>41216</v>
      </c>
      <c r="B61" s="307">
        <f t="shared" si="44"/>
        <v>0.33333333333333331</v>
      </c>
      <c r="C61" s="304">
        <f t="shared" si="5"/>
        <v>24</v>
      </c>
      <c r="D61" s="65"/>
      <c r="E61" s="66"/>
      <c r="F61" s="66"/>
      <c r="G61" s="66"/>
      <c r="H61" s="66"/>
      <c r="I61" s="66"/>
      <c r="J61" s="86"/>
      <c r="K61" s="86"/>
      <c r="L61" s="63"/>
      <c r="M61" s="86">
        <v>70</v>
      </c>
      <c r="N61" s="66">
        <v>70</v>
      </c>
      <c r="O61" s="414">
        <f>(N60-M61)*N$4/(C61-2)</f>
        <v>3.4254545454545453</v>
      </c>
      <c r="P61" s="424"/>
      <c r="Q61" s="424"/>
      <c r="R61" s="424"/>
      <c r="S61" s="86"/>
      <c r="T61" s="86"/>
      <c r="U61" s="86"/>
      <c r="V61" s="65"/>
      <c r="W61" s="66"/>
      <c r="X61" s="66"/>
      <c r="Y61" s="66"/>
      <c r="Z61" s="66"/>
      <c r="AA61" s="86"/>
      <c r="AB61" s="86"/>
      <c r="AC61" s="63"/>
      <c r="AD61" s="87"/>
      <c r="AE61" s="87"/>
      <c r="AF61" s="88"/>
      <c r="AG61" s="85"/>
      <c r="AH61" s="66"/>
      <c r="AI61" s="87"/>
      <c r="AJ61" s="63"/>
      <c r="AK61" s="65"/>
      <c r="AL61" s="66">
        <v>35.6</v>
      </c>
      <c r="AM61" s="66">
        <v>143</v>
      </c>
      <c r="AN61" s="89">
        <f t="shared" si="38"/>
        <v>60.480000000000004</v>
      </c>
      <c r="AO61" s="89">
        <f t="shared" si="39"/>
        <v>23.363095238095237</v>
      </c>
      <c r="AP61" s="66">
        <v>69</v>
      </c>
      <c r="AQ61" s="180">
        <f t="shared" si="32"/>
        <v>41805.665625000009</v>
      </c>
      <c r="AR61" s="72">
        <f t="shared" si="33"/>
        <v>844.85625000000437</v>
      </c>
      <c r="AS61" s="161">
        <f t="shared" si="40"/>
        <v>35.202343750000182</v>
      </c>
      <c r="AT61" s="72">
        <f t="shared" si="41"/>
        <v>594.66990232722765</v>
      </c>
      <c r="AU61" s="66"/>
      <c r="AV61" s="143">
        <f t="shared" si="42"/>
        <v>458.75809615033984</v>
      </c>
      <c r="AW61" s="433">
        <f t="shared" si="12"/>
        <v>0.59791666666666976</v>
      </c>
      <c r="AX61" s="66"/>
      <c r="AY61" s="66"/>
      <c r="AZ61" s="66"/>
      <c r="BA61" s="66"/>
      <c r="BB61" s="66"/>
      <c r="BC61" s="63"/>
      <c r="BD61" s="64"/>
      <c r="BE61" s="147"/>
      <c r="BF61" s="86"/>
      <c r="BG61" s="65"/>
      <c r="BH61" s="66"/>
      <c r="BI61" s="66"/>
      <c r="BJ61" s="66"/>
      <c r="BK61" s="66"/>
      <c r="BL61" s="86"/>
      <c r="BM61" s="86"/>
      <c r="BN61" s="63"/>
      <c r="BO61" s="87"/>
      <c r="BP61" s="87"/>
      <c r="BQ61" s="88"/>
      <c r="BR61" s="85"/>
      <c r="BS61" s="64"/>
      <c r="BT61" s="66"/>
      <c r="BU61" s="67"/>
      <c r="BV61" s="65"/>
      <c r="BW61" s="66">
        <v>51</v>
      </c>
      <c r="BX61" s="448">
        <v>90</v>
      </c>
      <c r="BY61" s="456">
        <f t="shared" si="43"/>
        <v>32</v>
      </c>
      <c r="BZ61" s="456">
        <f t="shared" si="34"/>
        <v>23.3125</v>
      </c>
      <c r="CA61" s="455">
        <v>30</v>
      </c>
      <c r="CB61" s="449">
        <f t="shared" si="35"/>
        <v>21174.393749999999</v>
      </c>
      <c r="CC61" s="457">
        <f t="shared" si="36"/>
        <v>367.96875</v>
      </c>
      <c r="CD61" s="457">
        <f t="shared" si="37"/>
        <v>15.33203125</v>
      </c>
      <c r="CE61" s="72">
        <f>CC61/(BY61*(AVERAGE(D$46,D$31,D$35,D$43,D$50,D$51,D$56,D$57))*AVERAGE(E$46,E$31,E$35,E$43,E$50,E$51,E$56,E$57)*0.0001)</f>
        <v>489.51485862302036</v>
      </c>
      <c r="CF61" s="66"/>
      <c r="CG61" s="72">
        <f>CC61/(BY61*AVERAGE(D$31,D$35,D$43,D$46,D$50,D$51,D$56,D$57)*0.01)</f>
        <v>377.63623768472905</v>
      </c>
      <c r="CH61" s="433">
        <f t="shared" si="15"/>
        <v>0.49325569705093836</v>
      </c>
      <c r="CI61" s="66"/>
      <c r="CJ61" s="66"/>
      <c r="CK61" s="66"/>
      <c r="CL61" s="66"/>
      <c r="CM61" s="66"/>
      <c r="CN61" s="446"/>
    </row>
    <row r="62" spans="1:92">
      <c r="A62" s="378">
        <f t="shared" si="24"/>
        <v>41217</v>
      </c>
      <c r="B62" s="307">
        <f t="shared" si="44"/>
        <v>0.33333333333333331</v>
      </c>
      <c r="C62" s="304">
        <f t="shared" si="5"/>
        <v>24</v>
      </c>
      <c r="D62" s="65"/>
      <c r="E62" s="66"/>
      <c r="F62" s="66"/>
      <c r="G62" s="66"/>
      <c r="H62" s="66"/>
      <c r="I62" s="66"/>
      <c r="J62" s="86"/>
      <c r="K62" s="86"/>
      <c r="L62" s="63"/>
      <c r="M62" s="86">
        <v>50</v>
      </c>
      <c r="N62" s="66">
        <v>85</v>
      </c>
      <c r="O62" s="414">
        <f>(N61-M62)*N$4/(C62+8.5)</f>
        <v>3.0916923076923077</v>
      </c>
      <c r="P62" s="424"/>
      <c r="Q62" s="424"/>
      <c r="R62" s="424"/>
      <c r="S62" s="86">
        <v>60</v>
      </c>
      <c r="T62" s="86">
        <v>10</v>
      </c>
      <c r="U62" s="86"/>
      <c r="V62" s="65"/>
      <c r="W62" s="66"/>
      <c r="X62" s="66"/>
      <c r="Y62" s="66"/>
      <c r="Z62" s="66"/>
      <c r="AA62" s="86"/>
      <c r="AB62" s="86"/>
      <c r="AC62" s="63"/>
      <c r="AD62" s="87"/>
      <c r="AE62" s="87"/>
      <c r="AF62" s="88"/>
      <c r="AG62" s="85"/>
      <c r="AH62" s="66"/>
      <c r="AI62" s="87"/>
      <c r="AJ62" s="63"/>
      <c r="AK62" s="65"/>
      <c r="AL62" s="66">
        <v>35.6</v>
      </c>
      <c r="AM62" s="66">
        <v>171</v>
      </c>
      <c r="AN62" s="89">
        <f t="shared" si="38"/>
        <v>60.480000000000004</v>
      </c>
      <c r="AO62" s="89">
        <f t="shared" si="39"/>
        <v>23.363095238095237</v>
      </c>
      <c r="AP62" s="66">
        <v>85</v>
      </c>
      <c r="AQ62" s="180">
        <f t="shared" si="32"/>
        <v>42771.215625000004</v>
      </c>
      <c r="AR62" s="72">
        <f t="shared" si="33"/>
        <v>965.54999999999563</v>
      </c>
      <c r="AS62" s="161">
        <f t="shared" si="40"/>
        <v>40.231249999999818</v>
      </c>
      <c r="AT62" s="72">
        <f t="shared" si="41"/>
        <v>679.62274551682503</v>
      </c>
      <c r="AU62" s="66"/>
      <c r="AV62" s="143">
        <f t="shared" si="42"/>
        <v>524.29496702895472</v>
      </c>
      <c r="AW62" s="433">
        <f t="shared" si="12"/>
        <v>0.68333333333333024</v>
      </c>
      <c r="AX62" s="66"/>
      <c r="AY62" s="66"/>
      <c r="AZ62" s="66"/>
      <c r="BA62" s="66"/>
      <c r="BB62" s="66"/>
      <c r="BC62" s="63"/>
      <c r="BD62" s="64">
        <v>60</v>
      </c>
      <c r="BE62" s="147">
        <v>10</v>
      </c>
      <c r="BF62" s="86"/>
      <c r="BG62" s="65"/>
      <c r="BH62" s="66"/>
      <c r="BI62" s="66"/>
      <c r="BJ62" s="66"/>
      <c r="BK62" s="66"/>
      <c r="BL62" s="86"/>
      <c r="BM62" s="86"/>
      <c r="BN62" s="63"/>
      <c r="BO62" s="87"/>
      <c r="BP62" s="87"/>
      <c r="BQ62" s="88"/>
      <c r="BR62" s="85"/>
      <c r="BS62" s="64"/>
      <c r="BT62" s="66"/>
      <c r="BU62" s="67"/>
      <c r="BV62" s="65"/>
      <c r="BW62" s="66">
        <v>50.8</v>
      </c>
      <c r="BX62" s="448">
        <v>106</v>
      </c>
      <c r="BY62" s="456">
        <f t="shared" si="43"/>
        <v>32</v>
      </c>
      <c r="BZ62" s="456">
        <f t="shared" si="34"/>
        <v>23.3125</v>
      </c>
      <c r="CA62" s="455">
        <v>38</v>
      </c>
      <c r="CB62" s="449">
        <f t="shared" si="35"/>
        <v>21665.018749999999</v>
      </c>
      <c r="CC62" s="457">
        <f t="shared" si="36"/>
        <v>490.625</v>
      </c>
      <c r="CD62" s="457">
        <f t="shared" si="37"/>
        <v>20.442708333333332</v>
      </c>
      <c r="CE62" s="72">
        <f>CC62/(BY62*(AVERAGE(D$46,D$31,D$35,D$43,D$50,D$51,D$56,D$57))*AVERAGE(E$46,E$31,E$35,E$43,E$50,E$51,E$56,E$57)*0.0001)</f>
        <v>652.68647816402711</v>
      </c>
      <c r="CF62" s="66"/>
      <c r="CG62" s="72">
        <f>CC62/(BY62*AVERAGE(D$31,D$35,D$43,D$46,D$50,D$51,D$56,D$57)*0.01)</f>
        <v>503.51498357963874</v>
      </c>
      <c r="CH62" s="433">
        <f t="shared" si="15"/>
        <v>0.6576742627345844</v>
      </c>
      <c r="CI62" s="66"/>
      <c r="CJ62" s="66"/>
      <c r="CK62" s="66"/>
      <c r="CL62" s="66"/>
      <c r="CM62" s="66"/>
      <c r="CN62" s="446"/>
    </row>
    <row r="63" spans="1:92" s="337" customFormat="1" ht="15">
      <c r="A63" s="309">
        <f t="shared" si="24"/>
        <v>41218</v>
      </c>
      <c r="B63" s="307">
        <f t="shared" si="44"/>
        <v>0.33333333333333331</v>
      </c>
      <c r="C63" s="304">
        <f t="shared" si="5"/>
        <v>24</v>
      </c>
      <c r="D63" s="339">
        <v>3.29</v>
      </c>
      <c r="E63" s="365">
        <v>76.06</v>
      </c>
      <c r="F63" s="450"/>
      <c r="G63" s="319">
        <v>6.12</v>
      </c>
      <c r="H63" s="313"/>
      <c r="I63" s="313"/>
      <c r="J63" s="315"/>
      <c r="K63" s="315"/>
      <c r="L63" s="320"/>
      <c r="M63" s="317">
        <v>79</v>
      </c>
      <c r="N63" s="319">
        <v>79</v>
      </c>
      <c r="O63" s="414">
        <f>(N62-M63)*N$4/(C63-8.5)</f>
        <v>1.9447741935483871</v>
      </c>
      <c r="P63" s="424"/>
      <c r="Q63" s="424"/>
      <c r="R63" s="424"/>
      <c r="S63" s="317">
        <v>21</v>
      </c>
      <c r="T63" s="317">
        <v>21</v>
      </c>
      <c r="U63" s="317"/>
      <c r="V63" s="339">
        <v>2.13</v>
      </c>
      <c r="W63" s="365">
        <v>63.39</v>
      </c>
      <c r="X63" s="348"/>
      <c r="Y63" s="451"/>
      <c r="Z63" s="348"/>
      <c r="AA63" s="315"/>
      <c r="AB63" s="315"/>
      <c r="AC63" s="320"/>
      <c r="AD63" s="391">
        <f>D57*(100-E57)/(100-W63)</f>
        <v>1.5315487571701722</v>
      </c>
      <c r="AE63" s="387">
        <f>D57-V63</f>
        <v>-2.9999999999999805E-2</v>
      </c>
      <c r="AF63" s="393">
        <f>100*(AVERAGE(D56,D57,D51,D50,D46,D43,D35)-V63)/AVERAGE(D56,D57,D51,D50,D43,D35,D46)</f>
        <v>32.103825136612031</v>
      </c>
      <c r="AG63" s="393">
        <f>100*(1-((100-AVERAGE(E56,E57,E50,E51,E46,E35))/(100-W63)))</f>
        <v>33.743057452426449</v>
      </c>
      <c r="AH63" s="387">
        <f>E57-W63</f>
        <v>9.9099999999999966</v>
      </c>
      <c r="AI63" s="393">
        <f>100*(1-((V63*W63)/(AVERAGE(D56,D57,D51,D46,D50,D43,D35)*AVERAGE(E56,E57,E51,E46,E50,E43,E35))))</f>
        <v>43.27967152622346</v>
      </c>
      <c r="AJ63" s="389">
        <f>100*100*((AVERAGE(E56,E57,E51,E50,E46,E43,E35)-W63)/((100-W63)*AVERAGE(E56,E57,E51,E50,E46,E43,E35)))</f>
        <v>44.960940497920987</v>
      </c>
      <c r="AK63" s="318">
        <v>7.06</v>
      </c>
      <c r="AL63" s="365">
        <v>34.4</v>
      </c>
      <c r="AM63" s="319">
        <v>199</v>
      </c>
      <c r="AN63" s="89">
        <f t="shared" si="38"/>
        <v>60.480000000000004</v>
      </c>
      <c r="AO63" s="89">
        <f t="shared" si="39"/>
        <v>23.363095238095237</v>
      </c>
      <c r="AP63" s="319">
        <v>102</v>
      </c>
      <c r="AQ63" s="441">
        <f t="shared" si="32"/>
        <v>43797.112500000003</v>
      </c>
      <c r="AR63" s="72">
        <f t="shared" si="33"/>
        <v>1025.8968749999985</v>
      </c>
      <c r="AS63" s="161">
        <f t="shared" si="40"/>
        <v>42.745703124999942</v>
      </c>
      <c r="AT63" s="72">
        <f t="shared" si="41"/>
        <v>722.09916711162884</v>
      </c>
      <c r="AU63" s="313">
        <f>(AQ63-AQ43)/(AVERAGE(AN43:AN63)*((AVERAGE(D63,D57,D56,D51,D50,D46,D43)*AVERAGE(E63,E57,E56,E51,E50,E46,E43))-(V63*W63))*0.0001*(SUM(C43:C63)/24))</f>
        <v>1304.3318483099927</v>
      </c>
      <c r="AV63" s="143">
        <f t="shared" si="42"/>
        <v>557.06340246826619</v>
      </c>
      <c r="AW63" s="433">
        <f t="shared" si="12"/>
        <v>0.72604166666666559</v>
      </c>
      <c r="AX63" s="319">
        <v>69.400000000000006</v>
      </c>
      <c r="AY63" s="319">
        <v>30.4</v>
      </c>
      <c r="AZ63" s="319">
        <v>0</v>
      </c>
      <c r="BA63" s="319"/>
      <c r="BB63" s="319"/>
      <c r="BC63" s="415"/>
      <c r="BD63" s="368">
        <v>18</v>
      </c>
      <c r="BE63" s="330">
        <v>18</v>
      </c>
      <c r="BF63" s="317"/>
      <c r="BG63" s="339">
        <v>1.69</v>
      </c>
      <c r="BH63" s="458">
        <v>64.739999999999995</v>
      </c>
      <c r="BI63" s="348"/>
      <c r="BJ63" s="348"/>
      <c r="BK63" s="348"/>
      <c r="BL63" s="315"/>
      <c r="BM63" s="315"/>
      <c r="BN63" s="320"/>
      <c r="BO63" s="391">
        <f>D57*(100-E57)/(100-BH63)</f>
        <v>1.5901871809415768</v>
      </c>
      <c r="BP63" s="387">
        <f>D57-BG63</f>
        <v>0.41000000000000014</v>
      </c>
      <c r="BQ63" s="392">
        <f>100*(AVERAGE(D57,D56,D51,D46,D50,D43,D35)-BG63)/AVERAGE(D57,D56,D51,D46,D50,D43,D35)</f>
        <v>46.129326047358845</v>
      </c>
      <c r="BR63" s="393">
        <f>100*(1-((100-AVERAGE(E57,E56,E51,E46,E50,E43,E35))/(100-BH63)))</f>
        <v>31.593874078275665</v>
      </c>
      <c r="BS63" s="387">
        <f>E57-BH63</f>
        <v>8.5600000000000023</v>
      </c>
      <c r="BT63" s="392">
        <f>100*(1-((BG63*BH63)/(AVERAGE(D57,D56,D46,D51,D50,D43,D35)*AVERAGE(E57,E56,E46,E51,E50,E43,E35))))</f>
        <v>54.038120299235779</v>
      </c>
      <c r="BU63" s="389">
        <f>100*100*((AVERAGE(E57,E56,E51,E46,E50,E43,E35)-BH63)/((100-BH63)*AVERAGE(E57,E56,E51,E46,E50,E43,E35)))</f>
        <v>41.636628990874627</v>
      </c>
      <c r="BV63" s="318">
        <v>7.25</v>
      </c>
      <c r="BW63" s="365">
        <v>49.4</v>
      </c>
      <c r="BX63" s="448">
        <v>122</v>
      </c>
      <c r="BY63" s="456">
        <f t="shared" si="43"/>
        <v>32</v>
      </c>
      <c r="BZ63" s="456">
        <f t="shared" si="34"/>
        <v>23.3125</v>
      </c>
      <c r="CA63" s="455">
        <v>46</v>
      </c>
      <c r="CB63" s="449">
        <f t="shared" si="35"/>
        <v>22155.643749999999</v>
      </c>
      <c r="CC63" s="457">
        <f t="shared" si="36"/>
        <v>490.625</v>
      </c>
      <c r="CD63" s="457">
        <f t="shared" si="37"/>
        <v>20.442708333333332</v>
      </c>
      <c r="CE63" s="72">
        <f>CC63/(BY63*(AVERAGE(D$46,D$31,D$35,D$43,D$50,D$51,D$56,D$57))*AVERAGE(E$46,E$31,E$35,E$43,E$50,E$51,E$56,E$57)*0.0001)</f>
        <v>652.68647816402711</v>
      </c>
      <c r="CF63" s="313">
        <f>(CB63-CB43)/(AVERAGE(BY43:BY63)*((AVERAGE(D50,D51,D63,D57,D56,D46,D43)*AVERAGE(E51,E63,E57,E56,E50,E46,E43))-(BG63*BH63))*0.0001*(SUM(C43:C63)/24))</f>
        <v>1023.7844693943766</v>
      </c>
      <c r="CG63" s="72">
        <f>CC63/(BY63*AVERAGE(D$31,D$35,D$43,D$46,D$50,D$51,D$56,D$57)*0.01)</f>
        <v>503.51498357963874</v>
      </c>
      <c r="CH63" s="433">
        <f t="shared" si="15"/>
        <v>0.6576742627345844</v>
      </c>
      <c r="CI63" s="319">
        <v>67.5</v>
      </c>
      <c r="CJ63" s="319">
        <v>32.299999999999997</v>
      </c>
      <c r="CK63" s="319">
        <v>0</v>
      </c>
      <c r="CL63" s="319"/>
      <c r="CM63" s="319"/>
      <c r="CN63" s="460"/>
    </row>
    <row r="64" spans="1:92" s="94" customFormat="1" ht="15">
      <c r="A64" s="378">
        <f t="shared" si="24"/>
        <v>41219</v>
      </c>
      <c r="B64" s="307">
        <f t="shared" si="44"/>
        <v>0.33333333333333331</v>
      </c>
      <c r="C64" s="304">
        <f t="shared" si="5"/>
        <v>24</v>
      </c>
      <c r="D64" s="65"/>
      <c r="E64" s="66"/>
      <c r="F64" s="72"/>
      <c r="G64" s="66"/>
      <c r="H64" s="72"/>
      <c r="I64" s="72"/>
      <c r="J64" s="256"/>
      <c r="K64" s="256"/>
      <c r="L64" s="63"/>
      <c r="M64" s="86">
        <v>65</v>
      </c>
      <c r="N64" s="66">
        <v>80</v>
      </c>
      <c r="O64" s="414">
        <f>(N63-M64)*N$4/(C64+4)</f>
        <v>2.512</v>
      </c>
      <c r="P64" s="424"/>
      <c r="Q64" s="424"/>
      <c r="R64" s="424"/>
      <c r="S64" s="86"/>
      <c r="T64" s="86"/>
      <c r="U64" s="86"/>
      <c r="V64" s="65"/>
      <c r="W64" s="66"/>
      <c r="X64" s="72"/>
      <c r="Y64" s="107"/>
      <c r="Z64" s="72"/>
      <c r="AA64" s="256"/>
      <c r="AB64" s="256"/>
      <c r="AC64" s="63"/>
      <c r="AD64" s="87"/>
      <c r="AE64" s="87"/>
      <c r="AF64" s="88"/>
      <c r="AG64" s="85"/>
      <c r="AH64" s="71"/>
      <c r="AI64" s="83"/>
      <c r="AJ64" s="108"/>
      <c r="AK64" s="65"/>
      <c r="AL64" s="66">
        <v>35.6</v>
      </c>
      <c r="AM64" s="66">
        <v>227</v>
      </c>
      <c r="AN64" s="89">
        <f t="shared" ref="AN64:AN76" si="45">(AM64-AM63)*AQ$1/((C64)/24)</f>
        <v>60.480000000000004</v>
      </c>
      <c r="AO64" s="89">
        <f t="shared" ref="AO64:AO76" si="46">AQ$3/AN64</f>
        <v>23.363095238095237</v>
      </c>
      <c r="AP64" s="143">
        <v>118</v>
      </c>
      <c r="AQ64" s="76">
        <f t="shared" si="32"/>
        <v>44762.662500000006</v>
      </c>
      <c r="AR64" s="72">
        <f t="shared" ref="AR64:AR70" si="47">(AQ64-AQ63)/(C64/24)</f>
        <v>965.55000000000291</v>
      </c>
      <c r="AS64" s="161">
        <f t="shared" ref="AS64:AS70" si="48">(AQ64-AQ63)/C64</f>
        <v>40.231250000000124</v>
      </c>
      <c r="AT64" s="72">
        <f>AR64/(AN64*(AVERAGE(D$46,D$63,D$35,D$43,D$50,D$51,D$56,D$57))*AVERAGE(E$46,E$63,E$35,E$43,E$50,E$51,E$56,E$57)*0.0001)</f>
        <v>666.40079997497764</v>
      </c>
      <c r="AU64" s="72"/>
      <c r="AV64" s="143">
        <f>AR64/(AN64*AVERAGE(D$35:D$43,D$46,D$50,D$51,D$56,D$57,D$63)*0.01)</f>
        <v>505.81486720100725</v>
      </c>
      <c r="AW64" s="433">
        <f t="shared" ref="AW64:AW92" si="49">AR64/AQ$3</f>
        <v>0.68333333333333535</v>
      </c>
      <c r="AX64" s="72"/>
      <c r="AY64" s="72"/>
      <c r="AZ64" s="72"/>
      <c r="BA64" s="72"/>
      <c r="BB64" s="72"/>
      <c r="BC64" s="102"/>
      <c r="BD64" s="64"/>
      <c r="BE64" s="147"/>
      <c r="BF64" s="86"/>
      <c r="BG64" s="65"/>
      <c r="BH64" s="72"/>
      <c r="BI64" s="72"/>
      <c r="BJ64" s="72"/>
      <c r="BK64" s="72"/>
      <c r="BL64" s="256"/>
      <c r="BM64" s="256"/>
      <c r="BN64" s="63"/>
      <c r="BO64" s="87"/>
      <c r="BP64" s="87"/>
      <c r="BQ64" s="88"/>
      <c r="BR64" s="85"/>
      <c r="BS64" s="92"/>
      <c r="BT64" s="71"/>
      <c r="BU64" s="115"/>
      <c r="BV64" s="65"/>
      <c r="BW64" s="66">
        <v>50.9</v>
      </c>
      <c r="BX64" s="448">
        <v>137</v>
      </c>
      <c r="BY64" s="456">
        <f t="shared" ref="BY64:BY70" si="50">(BX64-BX63)*CB$1/((C64)/24)</f>
        <v>30</v>
      </c>
      <c r="BZ64" s="456">
        <f t="shared" ref="BZ64:BZ70" si="51">CB$3/BY64</f>
        <v>24.866666666666667</v>
      </c>
      <c r="CA64" s="455">
        <v>53</v>
      </c>
      <c r="CB64" s="449">
        <f t="shared" si="35"/>
        <v>22584.940624999999</v>
      </c>
      <c r="CC64" s="457">
        <f t="shared" ref="CC64:CC70" si="52">(CB64-CB63)/((C64/24))</f>
        <v>429.296875</v>
      </c>
      <c r="CD64" s="457">
        <f t="shared" ref="CD64:CD70" si="53">(CB64-CB63)/(C64)</f>
        <v>17.887369791666668</v>
      </c>
      <c r="CE64" s="72">
        <f>CC64/(BY64*(AVERAGE(D$46,D$35,D$43,D$50,D$51,D$56,D$57,D$63))*AVERAGE(E$46,E$35,E$43,E$50,E$51,E$56,E$57,E$63)*0.0001)</f>
        <v>597.32266827025251</v>
      </c>
      <c r="CF64" s="161"/>
      <c r="CG64" s="72">
        <f>CC64/(BY64*AVERAGE(D$35,D$43,D$46,D$50,D$51,D$56,D$57,D$63)*0.01)</f>
        <v>453.38283828382839</v>
      </c>
      <c r="CH64" s="433">
        <f t="shared" si="15"/>
        <v>0.57546497989276135</v>
      </c>
      <c r="CI64" s="66"/>
      <c r="CJ64" s="66"/>
      <c r="CK64" s="66"/>
      <c r="CL64" s="66"/>
      <c r="CM64" s="66"/>
      <c r="CN64" s="447"/>
    </row>
    <row r="65" spans="1:92">
      <c r="A65" s="378">
        <f t="shared" si="24"/>
        <v>41220</v>
      </c>
      <c r="B65" s="307">
        <f t="shared" si="44"/>
        <v>0.33333333333333331</v>
      </c>
      <c r="C65" s="304">
        <f t="shared" si="5"/>
        <v>24</v>
      </c>
      <c r="D65" s="65"/>
      <c r="E65" s="66"/>
      <c r="F65" s="66"/>
      <c r="G65" s="66"/>
      <c r="H65" s="66"/>
      <c r="I65" s="66"/>
      <c r="J65" s="86"/>
      <c r="K65" s="86"/>
      <c r="L65" s="63"/>
      <c r="M65" s="86"/>
      <c r="N65" s="66"/>
      <c r="O65" s="261"/>
      <c r="P65" s="465"/>
      <c r="Q65" s="465"/>
      <c r="R65" s="465"/>
      <c r="S65" s="86">
        <v>60</v>
      </c>
      <c r="T65" s="86">
        <v>10</v>
      </c>
      <c r="U65" s="86"/>
      <c r="V65" s="65"/>
      <c r="W65" s="66"/>
      <c r="X65" s="66"/>
      <c r="Y65" s="66"/>
      <c r="Z65" s="66"/>
      <c r="AA65" s="86"/>
      <c r="AB65" s="86"/>
      <c r="AC65" s="63"/>
      <c r="AD65" s="87"/>
      <c r="AE65" s="87"/>
      <c r="AF65" s="88"/>
      <c r="AG65" s="85"/>
      <c r="AH65" s="66"/>
      <c r="AI65" s="87"/>
      <c r="AJ65" s="63"/>
      <c r="AK65" s="65"/>
      <c r="AL65" s="66">
        <v>35.6</v>
      </c>
      <c r="AM65" s="66">
        <v>255</v>
      </c>
      <c r="AN65" s="89">
        <f t="shared" si="45"/>
        <v>60.480000000000004</v>
      </c>
      <c r="AO65" s="89">
        <f t="shared" si="46"/>
        <v>23.363095238095237</v>
      </c>
      <c r="AP65" s="66">
        <v>133</v>
      </c>
      <c r="AQ65" s="76">
        <f t="shared" si="32"/>
        <v>45667.865625000006</v>
      </c>
      <c r="AR65" s="72">
        <f t="shared" si="47"/>
        <v>905.203125</v>
      </c>
      <c r="AS65" s="161">
        <f t="shared" si="48"/>
        <v>37.716796875</v>
      </c>
      <c r="AT65" s="72">
        <f>AR65/(AN65*(AVERAGE(D$46,D$63,D$35,D$43,D$50,D$51,D$56,D$57))*AVERAGE(E$46,E$63,E$35,E$43,E$50,E$51,E$56,E$57)*0.0001)</f>
        <v>624.75074997653962</v>
      </c>
      <c r="AU65" s="66"/>
      <c r="AV65" s="143">
        <f>AR65/(AN65*AVERAGE(D$35:D$43,D$46,D$50,D$51,D$56,D$57,D$63)*0.01)</f>
        <v>474.20143800094286</v>
      </c>
      <c r="AW65" s="433">
        <f t="shared" si="49"/>
        <v>0.640625</v>
      </c>
      <c r="AX65" s="66"/>
      <c r="AY65" s="66"/>
      <c r="AZ65" s="66"/>
      <c r="BA65" s="66"/>
      <c r="BB65" s="66"/>
      <c r="BC65" s="63"/>
      <c r="BD65" s="64"/>
      <c r="BE65" s="147"/>
      <c r="BF65" s="86"/>
      <c r="BG65" s="65"/>
      <c r="BH65" s="66"/>
      <c r="BI65" s="66"/>
      <c r="BJ65" s="66"/>
      <c r="BK65" s="66"/>
      <c r="BL65" s="86"/>
      <c r="BM65" s="86"/>
      <c r="BN65" s="63"/>
      <c r="BO65" s="87"/>
      <c r="BP65" s="87"/>
      <c r="BQ65" s="88"/>
      <c r="BR65" s="85"/>
      <c r="BS65" s="64"/>
      <c r="BT65" s="66"/>
      <c r="BU65" s="67"/>
      <c r="BV65" s="65"/>
      <c r="BW65" s="66">
        <v>50.9</v>
      </c>
      <c r="BX65" s="448">
        <v>153</v>
      </c>
      <c r="BY65" s="456">
        <f t="shared" si="50"/>
        <v>32</v>
      </c>
      <c r="BZ65" s="456">
        <f t="shared" si="51"/>
        <v>23.3125</v>
      </c>
      <c r="CA65" s="448">
        <v>61</v>
      </c>
      <c r="CB65" s="459">
        <f t="shared" si="35"/>
        <v>23075.565624999999</v>
      </c>
      <c r="CC65" s="457">
        <f t="shared" si="52"/>
        <v>490.625</v>
      </c>
      <c r="CD65" s="457">
        <f t="shared" si="53"/>
        <v>20.442708333333332</v>
      </c>
      <c r="CE65" s="72">
        <f>CC65/(BY65*(AVERAGE(D$46,D$35,D$43,D$50,D$51,D$56,D$57,D$63))*AVERAGE(E$46,E$35,E$43,E$50,E$51,E$56,E$57,E$63)*0.0001)</f>
        <v>639.98857314669908</v>
      </c>
      <c r="CF65" s="161"/>
      <c r="CG65" s="72">
        <f>CC65/(BY65*AVERAGE(D$35,D$43,D$46,D$50,D$51,D$56,D$57,D$63)*0.01)</f>
        <v>485.76732673267327</v>
      </c>
      <c r="CH65" s="433">
        <f t="shared" si="15"/>
        <v>0.6576742627345844</v>
      </c>
      <c r="CI65" s="66"/>
      <c r="CJ65" s="66"/>
      <c r="CK65" s="66"/>
      <c r="CL65" s="66"/>
      <c r="CM65" s="66"/>
      <c r="CN65" s="446"/>
    </row>
    <row r="66" spans="1:92" s="69" customFormat="1">
      <c r="A66" s="378">
        <f t="shared" si="24"/>
        <v>41221</v>
      </c>
      <c r="B66" s="307">
        <f t="shared" si="44"/>
        <v>0.33333333333333331</v>
      </c>
      <c r="C66" s="304">
        <f t="shared" si="5"/>
        <v>24</v>
      </c>
      <c r="D66" s="65"/>
      <c r="E66" s="66"/>
      <c r="F66" s="72"/>
      <c r="G66" s="66"/>
      <c r="H66" s="66"/>
      <c r="I66" s="72"/>
      <c r="J66" s="256"/>
      <c r="K66" s="256"/>
      <c r="L66" s="63"/>
      <c r="M66" s="86"/>
      <c r="N66" s="66"/>
      <c r="O66" s="261" t="s">
        <v>112</v>
      </c>
      <c r="P66" s="465"/>
      <c r="Q66" s="465"/>
      <c r="R66" s="465"/>
      <c r="S66" s="86"/>
      <c r="T66" s="86"/>
      <c r="U66" s="86"/>
      <c r="V66" s="65"/>
      <c r="W66" s="66"/>
      <c r="X66" s="76"/>
      <c r="Y66" s="66"/>
      <c r="Z66" s="76"/>
      <c r="AA66" s="256"/>
      <c r="AB66" s="256"/>
      <c r="AC66" s="63"/>
      <c r="AD66" s="93"/>
      <c r="AE66" s="83"/>
      <c r="AF66" s="88"/>
      <c r="AG66" s="85"/>
      <c r="AH66" s="75"/>
      <c r="AI66" s="83"/>
      <c r="AJ66" s="195"/>
      <c r="AK66" s="65"/>
      <c r="AL66" s="66">
        <v>35.6</v>
      </c>
      <c r="AM66" s="66">
        <v>285</v>
      </c>
      <c r="AN66" s="89">
        <f t="shared" si="45"/>
        <v>64.800000000000011</v>
      </c>
      <c r="AO66" s="89">
        <f t="shared" si="46"/>
        <v>21.80555555555555</v>
      </c>
      <c r="AP66" s="66">
        <v>148</v>
      </c>
      <c r="AQ66" s="76">
        <f t="shared" si="32"/>
        <v>46573.068750000006</v>
      </c>
      <c r="AR66" s="72">
        <f t="shared" si="47"/>
        <v>905.203125</v>
      </c>
      <c r="AS66" s="161">
        <f t="shared" si="48"/>
        <v>37.716796875</v>
      </c>
      <c r="AT66" s="72">
        <f>AR66/(AN66*(AVERAGE(D$46,D$63,D$35,D$43,D$50,D$51,D$56,D$57))*AVERAGE(E$46,E$63,E$35,E$43,E$50,E$51,E$56,E$57)*0.0001)</f>
        <v>583.10069997810353</v>
      </c>
      <c r="AU66" s="85"/>
      <c r="AV66" s="143">
        <f>AR66/(AN66*AVERAGE(D$35:D$43,D$46,D$50,D$51,D$56,D$57,D$63)*0.01)</f>
        <v>442.58800880088006</v>
      </c>
      <c r="AW66" s="433">
        <f t="shared" si="49"/>
        <v>0.640625</v>
      </c>
      <c r="AX66" s="66"/>
      <c r="AY66" s="66"/>
      <c r="AZ66" s="66"/>
      <c r="BA66" s="66"/>
      <c r="BB66" s="66"/>
      <c r="BC66" s="63"/>
      <c r="BD66" s="64"/>
      <c r="BE66" s="147"/>
      <c r="BF66" s="86"/>
      <c r="BG66" s="65"/>
      <c r="BH66" s="76"/>
      <c r="BI66" s="76"/>
      <c r="BJ66" s="76"/>
      <c r="BK66" s="76"/>
      <c r="BL66" s="256"/>
      <c r="BM66" s="256"/>
      <c r="BN66" s="63"/>
      <c r="BO66" s="93"/>
      <c r="BP66" s="83"/>
      <c r="BQ66" s="88"/>
      <c r="BR66" s="85"/>
      <c r="BS66" s="194"/>
      <c r="BT66" s="75"/>
      <c r="BU66" s="179"/>
      <c r="BV66" s="65"/>
      <c r="BW66" s="66">
        <v>51.01</v>
      </c>
      <c r="BX66" s="448">
        <v>170</v>
      </c>
      <c r="BY66" s="456">
        <f t="shared" si="50"/>
        <v>34</v>
      </c>
      <c r="BZ66" s="456">
        <f t="shared" si="51"/>
        <v>21.941176470588236</v>
      </c>
      <c r="CA66" s="448">
        <v>68</v>
      </c>
      <c r="CB66" s="459">
        <f t="shared" si="35"/>
        <v>23504.862499999999</v>
      </c>
      <c r="CC66" s="457">
        <f t="shared" si="52"/>
        <v>429.296875</v>
      </c>
      <c r="CD66" s="457">
        <f t="shared" si="53"/>
        <v>17.887369791666668</v>
      </c>
      <c r="CE66" s="72">
        <f>CC66/(BY66*(AVERAGE(D$46,D$35,D$43,D$50,D$51,D$56,D$57,D$63))*AVERAGE(E$46,E$35,E$43,E$50,E$51,E$56,E$57,E$63)*0.0001)</f>
        <v>527.0494131796346</v>
      </c>
      <c r="CF66" s="161"/>
      <c r="CG66" s="72">
        <f>CC66/(BY66*AVERAGE(D$35,D$43,D$46,D$50,D$51,D$56,D$57,D$63)*0.01)</f>
        <v>400.04368083867206</v>
      </c>
      <c r="CH66" s="433">
        <f t="shared" si="15"/>
        <v>0.57546497989276135</v>
      </c>
      <c r="CI66" s="66"/>
      <c r="CJ66" s="66"/>
      <c r="CK66" s="66"/>
      <c r="CL66" s="66"/>
      <c r="CM66" s="66"/>
      <c r="CN66" s="446"/>
    </row>
    <row r="67" spans="1:92" s="337" customFormat="1">
      <c r="A67" s="309">
        <f t="shared" si="24"/>
        <v>41222</v>
      </c>
      <c r="B67" s="307">
        <f t="shared" si="44"/>
        <v>0.33333333333333331</v>
      </c>
      <c r="C67" s="304">
        <f t="shared" si="5"/>
        <v>24</v>
      </c>
      <c r="D67" s="339">
        <v>3.1</v>
      </c>
      <c r="E67" s="365">
        <v>76.92</v>
      </c>
      <c r="F67" s="319"/>
      <c r="G67" s="319">
        <v>5.82</v>
      </c>
      <c r="H67" s="319"/>
      <c r="I67" s="319"/>
      <c r="J67" s="317"/>
      <c r="K67" s="317"/>
      <c r="L67" s="320"/>
      <c r="M67" s="317">
        <v>70</v>
      </c>
      <c r="N67" s="319">
        <v>70</v>
      </c>
      <c r="O67" s="414">
        <f>(N64-M67)*N$4/(C67+C66+C65+C64-4)</f>
        <v>0.54608695652173911</v>
      </c>
      <c r="P67" s="465"/>
      <c r="Q67" s="465"/>
      <c r="R67" s="465"/>
      <c r="S67" s="317">
        <v>50</v>
      </c>
      <c r="T67" s="317">
        <v>5</v>
      </c>
      <c r="U67" s="317"/>
      <c r="V67" s="339">
        <v>2.2000000000000002</v>
      </c>
      <c r="W67" s="365">
        <v>62.96</v>
      </c>
      <c r="X67" s="319"/>
      <c r="Y67" s="319"/>
      <c r="Z67" s="319"/>
      <c r="AA67" s="317"/>
      <c r="AB67" s="317"/>
      <c r="AC67" s="320"/>
      <c r="AD67" s="391">
        <f>D63*(100-E63)/(100-W67)</f>
        <v>2.1264200863930882</v>
      </c>
      <c r="AE67" s="387">
        <f>D63-V67</f>
        <v>1.0899999999999999</v>
      </c>
      <c r="AF67" s="393">
        <f>100*(AVERAGE(D51,D63,D57,D56,D50,D46,D43)-V67)/AVERAGE(D51,D63,D57,D56,D46,D43,D50)</f>
        <v>29.904415111515693</v>
      </c>
      <c r="AG67" s="393">
        <f>100*(1-((100-AVERAGE(E51,E63,E56,E57,E50,E46))/(100-W67)))</f>
        <v>34.179265658747269</v>
      </c>
      <c r="AH67" s="387">
        <f>E63-W67</f>
        <v>13.100000000000001</v>
      </c>
      <c r="AI67" s="393">
        <f>100*(1-((V67*W67)/(AVERAGE(D51,D63,D57,D50,D56,D46,D43)*AVERAGE(E51,E63,E57,E50,E56,E46,E43))))</f>
        <v>41.758368515416457</v>
      </c>
      <c r="AJ67" s="389">
        <f>100*100*((AVERAGE(E51,E63,E57,E56,E50,E46,E43)-W67)/((100-W67)*AVERAGE(E51,E63,E57,E56,E50,E46,E43)))</f>
        <v>45.656390473566638</v>
      </c>
      <c r="AK67" s="318">
        <v>7.19</v>
      </c>
      <c r="AL67" s="365">
        <v>34.700000000000003</v>
      </c>
      <c r="AM67" s="319">
        <v>315</v>
      </c>
      <c r="AN67" s="89">
        <f t="shared" si="45"/>
        <v>64.800000000000011</v>
      </c>
      <c r="AO67" s="89">
        <f t="shared" si="46"/>
        <v>21.80555555555555</v>
      </c>
      <c r="AP67" s="328">
        <v>162</v>
      </c>
      <c r="AQ67" s="76">
        <f t="shared" si="32"/>
        <v>47417.925000000003</v>
      </c>
      <c r="AR67" s="72">
        <f t="shared" si="47"/>
        <v>844.85624999999709</v>
      </c>
      <c r="AS67" s="161">
        <f t="shared" si="48"/>
        <v>35.202343749999876</v>
      </c>
      <c r="AT67" s="72">
        <f>AR67/(AN67*(AVERAGE(D$46,D$63,D$35,D$43,D$50,D$51,D$56,D$57))*AVERAGE(E$46,E$63,E$35,E$43,E$50,E$51,E$56,E$57)*0.0001)</f>
        <v>544.22731997956146</v>
      </c>
      <c r="AU67" s="313">
        <f>(AQ67-AQ46)/(AVERAGE(AN46:AN67)*((AVERAGE(D67,D63,D57,D56,D51,D50,D46)*AVERAGE(E67,E63,E57,E56,E51,E50,E46))-(V67*W67))*0.0001*(SUM(C46:C67)/24))</f>
        <v>1353.585863175623</v>
      </c>
      <c r="AV67" s="143">
        <f>AR67/(AN67*AVERAGE(D$35:D$43,D$46,D$50,D$51,D$56,D$57,D$63)*0.01)</f>
        <v>413.08214154748663</v>
      </c>
      <c r="AW67" s="433">
        <f t="shared" si="49"/>
        <v>0.59791666666666465</v>
      </c>
      <c r="AX67" s="367">
        <v>69.3</v>
      </c>
      <c r="AY67" s="367">
        <v>30.5</v>
      </c>
      <c r="AZ67" s="313">
        <v>0</v>
      </c>
      <c r="BA67" s="313"/>
      <c r="BB67" s="313"/>
      <c r="BC67" s="320"/>
      <c r="BD67" s="368">
        <v>60</v>
      </c>
      <c r="BE67" s="330">
        <v>5</v>
      </c>
      <c r="BF67" s="317"/>
      <c r="BG67" s="339">
        <v>2.0499999999999998</v>
      </c>
      <c r="BH67" s="365">
        <v>63.7</v>
      </c>
      <c r="BI67" s="319"/>
      <c r="BJ67" s="319"/>
      <c r="BK67" s="319"/>
      <c r="BL67" s="317"/>
      <c r="BM67" s="317"/>
      <c r="BN67" s="320"/>
      <c r="BO67" s="391">
        <f>D63*(100-E63)/(100-BH67)</f>
        <v>2.1697685950413224</v>
      </c>
      <c r="BP67" s="387">
        <f>D63-BG67</f>
        <v>1.2400000000000002</v>
      </c>
      <c r="BQ67" s="392">
        <f>100*(AVERAGE(D63,D57,D56,D51,D50,D46,D43)-BG67)/AVERAGE(D63,D57,D56,D51,D50,D46,D43)</f>
        <v>34.683659535730548</v>
      </c>
      <c r="BR67" s="393">
        <f>100*(1-((100-AVERAGE(E63,E57,E56,E51,E50,E46,E43))/(100-BH67)))</f>
        <v>33.262495080676921</v>
      </c>
      <c r="BS67" s="387">
        <f>E63-BH67</f>
        <v>12.36</v>
      </c>
      <c r="BT67" s="392">
        <f>100*(1-((BG67*BH67)/(AVERAGE(D63,D57,D56,D51,D50,D46,D43)*AVERAGE(E63,E57,E56,E51,E50,E46,E43))))</f>
        <v>45.091519526002507</v>
      </c>
      <c r="BU67" s="389">
        <f>100*100*((AVERAGE(E63,E57,E56,E51,E50,E46,E43)-BH67)/((100-BH67)*AVERAGE(E63,E57,E56,E51,E50,E46,E43)))</f>
        <v>43.896811124154148</v>
      </c>
      <c r="BV67" s="318"/>
      <c r="BW67" s="319">
        <f>(50.8+51.6)/2</f>
        <v>51.2</v>
      </c>
      <c r="BX67" s="448">
        <v>185</v>
      </c>
      <c r="BY67" s="456">
        <f t="shared" si="50"/>
        <v>30</v>
      </c>
      <c r="BZ67" s="456">
        <f t="shared" si="51"/>
        <v>24.866666666666667</v>
      </c>
      <c r="CA67" s="448">
        <v>76</v>
      </c>
      <c r="CB67" s="459">
        <f t="shared" si="35"/>
        <v>23995.487499999999</v>
      </c>
      <c r="CC67" s="457">
        <f t="shared" si="52"/>
        <v>490.625</v>
      </c>
      <c r="CD67" s="457">
        <f t="shared" si="53"/>
        <v>20.442708333333332</v>
      </c>
      <c r="CE67" s="72">
        <f>CC67/(BY67*(AVERAGE(D$46,D$35,D$43,D$50,D$51,D$56,D$57,D$63))*AVERAGE(E$46,E$35,E$43,E$50,E$51,E$56,E$57,E$63)*0.0001)</f>
        <v>682.65447802314566</v>
      </c>
      <c r="CF67" s="313">
        <f>(CB67-CB46)/(AVERAGE(BY46:BY67)*((AVERAGE(D56,D67,D63,D57,D50,D46,D51)*AVERAGE(E56,E67,E63,E57,E51,E50,E46))-(BG67*BH67))*0.0001*(SUM(C46:C67)/24))</f>
        <v>1175.2026155892634</v>
      </c>
      <c r="CG67" s="72">
        <f>CC67/(BY67*AVERAGE(D$35,D$43,D$46,D$50,D$51,D$56,D$57,D$63)*0.01)</f>
        <v>518.15181518151815</v>
      </c>
      <c r="CH67" s="433">
        <f t="shared" si="15"/>
        <v>0.6576742627345844</v>
      </c>
      <c r="CI67" s="319">
        <v>69.400000000000006</v>
      </c>
      <c r="CJ67" s="319">
        <v>30.4</v>
      </c>
      <c r="CK67" s="319">
        <v>0</v>
      </c>
      <c r="CL67" s="319"/>
      <c r="CM67" s="319"/>
      <c r="CN67" s="461" t="s">
        <v>110</v>
      </c>
    </row>
    <row r="68" spans="1:92">
      <c r="A68" s="378">
        <f t="shared" si="24"/>
        <v>41223</v>
      </c>
      <c r="B68" s="307">
        <f t="shared" si="44"/>
        <v>0.33333333333333331</v>
      </c>
      <c r="C68" s="304">
        <f t="shared" si="5"/>
        <v>24</v>
      </c>
      <c r="D68" s="65"/>
      <c r="E68" s="66"/>
      <c r="F68" s="66"/>
      <c r="G68" s="66"/>
      <c r="H68" s="66"/>
      <c r="I68" s="66"/>
      <c r="J68" s="86"/>
      <c r="K68" s="86"/>
      <c r="L68" s="63"/>
      <c r="M68" s="86"/>
      <c r="N68" s="66"/>
      <c r="O68" s="261"/>
      <c r="P68" s="465"/>
      <c r="Q68" s="465"/>
      <c r="R68" s="465"/>
      <c r="S68" s="86"/>
      <c r="T68" s="86"/>
      <c r="U68" s="86"/>
      <c r="V68" s="65"/>
      <c r="W68" s="66"/>
      <c r="X68" s="66"/>
      <c r="Y68" s="66"/>
      <c r="Z68" s="66"/>
      <c r="AA68" s="86"/>
      <c r="AB68" s="86"/>
      <c r="AC68" s="63"/>
      <c r="AD68" s="87"/>
      <c r="AE68" s="87"/>
      <c r="AF68" s="88"/>
      <c r="AG68" s="85"/>
      <c r="AH68" s="66"/>
      <c r="AI68" s="87"/>
      <c r="AJ68" s="63"/>
      <c r="AK68" s="65"/>
      <c r="AL68" s="66">
        <v>35.6</v>
      </c>
      <c r="AM68" s="66">
        <v>339</v>
      </c>
      <c r="AN68" s="89">
        <f t="shared" si="45"/>
        <v>51.84</v>
      </c>
      <c r="AO68" s="89">
        <f t="shared" si="46"/>
        <v>27.256944444444443</v>
      </c>
      <c r="AP68" s="143">
        <v>176</v>
      </c>
      <c r="AQ68" s="76">
        <f>((AP68-AP$55)*AQ$2)+AQ$55</f>
        <v>48262.781250000007</v>
      </c>
      <c r="AR68" s="72">
        <f t="shared" si="47"/>
        <v>844.85625000000437</v>
      </c>
      <c r="AS68" s="161">
        <f t="shared" si="48"/>
        <v>35.202343750000182</v>
      </c>
      <c r="AT68" s="72">
        <f>AR68/(AN68*(AVERAGE(D$46,D$63,D$50,D$51,D$56,D$57,D$67))*AVERAGE(E$46,E$63,E$50,E$51,E$56,E$57,E$67)*0.0001)</f>
        <v>691.28239223948549</v>
      </c>
      <c r="AU68" s="72"/>
      <c r="AV68" s="143">
        <f>AR68/(AN68*AVERAGE(D$46,D$50,D$51,D$56,D$57,D$63,D$67)*0.01)</f>
        <v>524.03155516851518</v>
      </c>
      <c r="AW68" s="433">
        <f t="shared" si="49"/>
        <v>0.59791666666666976</v>
      </c>
      <c r="AX68" s="72"/>
      <c r="AY68" s="72"/>
      <c r="AZ68" s="72"/>
      <c r="BA68" s="72"/>
      <c r="BB68" s="72"/>
      <c r="BC68" s="63"/>
      <c r="BD68" s="64"/>
      <c r="BE68" s="147"/>
      <c r="BF68" s="86"/>
      <c r="BG68" s="65"/>
      <c r="BH68" s="66"/>
      <c r="BI68" s="66"/>
      <c r="BJ68" s="66"/>
      <c r="BK68" s="66"/>
      <c r="BL68" s="86"/>
      <c r="BM68" s="86"/>
      <c r="BN68" s="63"/>
      <c r="BO68" s="87"/>
      <c r="BP68" s="87"/>
      <c r="BQ68" s="88"/>
      <c r="BR68" s="85"/>
      <c r="BS68" s="64"/>
      <c r="BT68" s="66"/>
      <c r="BU68" s="67"/>
      <c r="BV68" s="65"/>
      <c r="BW68" s="89">
        <v>51</v>
      </c>
      <c r="BX68" s="448">
        <v>201</v>
      </c>
      <c r="BY68" s="456">
        <f t="shared" si="50"/>
        <v>32</v>
      </c>
      <c r="BZ68" s="456">
        <f t="shared" si="51"/>
        <v>23.3125</v>
      </c>
      <c r="CA68" s="448">
        <v>84</v>
      </c>
      <c r="CB68" s="459">
        <f t="shared" si="35"/>
        <v>24486.112499999999</v>
      </c>
      <c r="CC68" s="457">
        <f t="shared" si="52"/>
        <v>490.625</v>
      </c>
      <c r="CD68" s="457">
        <f t="shared" si="53"/>
        <v>20.442708333333332</v>
      </c>
      <c r="CE68" s="72">
        <f>CC68/(BY68*(AVERAGE(D$46,D$50,D$51,D$56,D$57,D$63,D$67))*AVERAGE(E$46,E$50,E$51,E$56,E$57,E$63,E$67)*0.0001)</f>
        <v>650.33535158418169</v>
      </c>
      <c r="CF68" s="66"/>
      <c r="CG68" s="72">
        <f>CC68/(BY68*AVERAGE(D$46,D$50,D$51,D$56,D$57,D$63,D$67)*0.01)</f>
        <v>492.99135852090029</v>
      </c>
      <c r="CH68" s="433">
        <f t="shared" si="15"/>
        <v>0.6576742627345844</v>
      </c>
      <c r="CI68" s="66"/>
      <c r="CJ68" s="66"/>
      <c r="CK68" s="66"/>
      <c r="CL68" s="66"/>
      <c r="CM68" s="66"/>
      <c r="CN68" s="110"/>
    </row>
    <row r="69" spans="1:92">
      <c r="A69" s="378">
        <f t="shared" si="24"/>
        <v>41224</v>
      </c>
      <c r="B69" s="307">
        <f t="shared" si="44"/>
        <v>0.33333333333333331</v>
      </c>
      <c r="C69" s="304">
        <f t="shared" si="5"/>
        <v>24</v>
      </c>
      <c r="D69" s="65"/>
      <c r="E69" s="66"/>
      <c r="F69" s="66"/>
      <c r="G69" s="66"/>
      <c r="H69" s="66"/>
      <c r="I69" s="66"/>
      <c r="J69" s="86"/>
      <c r="K69" s="86"/>
      <c r="L69" s="63"/>
      <c r="M69" s="86">
        <v>70</v>
      </c>
      <c r="N69" s="66">
        <v>70</v>
      </c>
      <c r="O69" s="414" t="s">
        <v>112</v>
      </c>
      <c r="P69" s="465"/>
      <c r="Q69" s="465"/>
      <c r="R69" s="465"/>
      <c r="S69" s="86"/>
      <c r="T69" s="86"/>
      <c r="U69" s="86"/>
      <c r="V69" s="65"/>
      <c r="W69" s="66"/>
      <c r="X69" s="66"/>
      <c r="Y69" s="66"/>
      <c r="Z69" s="66"/>
      <c r="AA69" s="86"/>
      <c r="AB69" s="86"/>
      <c r="AC69" s="63"/>
      <c r="AD69" s="87"/>
      <c r="AE69" s="87"/>
      <c r="AF69" s="88"/>
      <c r="AG69" s="85"/>
      <c r="AH69" s="66"/>
      <c r="AI69" s="87"/>
      <c r="AJ69" s="63"/>
      <c r="AK69" s="65"/>
      <c r="AL69" s="66">
        <v>35.6</v>
      </c>
      <c r="AM69" s="66">
        <v>368</v>
      </c>
      <c r="AN69" s="89">
        <f t="shared" si="45"/>
        <v>62.64</v>
      </c>
      <c r="AO69" s="89">
        <f t="shared" si="46"/>
        <v>22.557471264367816</v>
      </c>
      <c r="AP69" s="143">
        <v>192</v>
      </c>
      <c r="AQ69" s="76">
        <f>((AP69-AP$55)*AQ$2)+AQ$55</f>
        <v>49228.331250000003</v>
      </c>
      <c r="AR69" s="72">
        <f t="shared" si="47"/>
        <v>965.54999999999563</v>
      </c>
      <c r="AS69" s="161">
        <f t="shared" si="48"/>
        <v>40.231249999999818</v>
      </c>
      <c r="AT69" s="72">
        <f>AR69/(AN69*(AVERAGE(D$46,D$63,D$50,D$51,D$56,D$57,D$67))*AVERAGE(E$46,E$63,E$50,E$51,E$56,E$57,E$67)*0.0001)</f>
        <v>653.82374044325093</v>
      </c>
      <c r="AU69" s="72"/>
      <c r="AV69" s="143">
        <f>AR69/(AN69*AVERAGE(D$46,D$50,D$51,D$56,D$57,D$63,D$67)*0.01)</f>
        <v>495.63575661258102</v>
      </c>
      <c r="AW69" s="433">
        <f t="shared" si="49"/>
        <v>0.68333333333333024</v>
      </c>
      <c r="AX69" s="72"/>
      <c r="AY69" s="72"/>
      <c r="AZ69" s="72"/>
      <c r="BA69" s="72"/>
      <c r="BB69" s="72"/>
      <c r="BC69" s="63"/>
      <c r="BD69" s="64"/>
      <c r="BE69" s="147"/>
      <c r="BF69" s="86"/>
      <c r="BG69" s="65"/>
      <c r="BH69" s="66"/>
      <c r="BI69" s="66"/>
      <c r="BJ69" s="66"/>
      <c r="BK69" s="66"/>
      <c r="BL69" s="86"/>
      <c r="BM69" s="86"/>
      <c r="BN69" s="63"/>
      <c r="BO69" s="87"/>
      <c r="BP69" s="87"/>
      <c r="BQ69" s="88"/>
      <c r="BR69" s="85"/>
      <c r="BS69" s="64"/>
      <c r="BT69" s="66"/>
      <c r="BU69" s="67"/>
      <c r="BV69" s="65"/>
      <c r="BW69" s="89">
        <v>51</v>
      </c>
      <c r="BX69" s="448">
        <v>217</v>
      </c>
      <c r="BY69" s="456">
        <f t="shared" si="50"/>
        <v>32</v>
      </c>
      <c r="BZ69" s="456">
        <f t="shared" si="51"/>
        <v>23.3125</v>
      </c>
      <c r="CA69" s="448">
        <v>92</v>
      </c>
      <c r="CB69" s="459">
        <f t="shared" si="35"/>
        <v>24976.737499999999</v>
      </c>
      <c r="CC69" s="457">
        <f t="shared" si="52"/>
        <v>490.625</v>
      </c>
      <c r="CD69" s="457">
        <f t="shared" si="53"/>
        <v>20.442708333333332</v>
      </c>
      <c r="CE69" s="72">
        <f>CC69/(BY69*(AVERAGE(D$46,D$50,D$51,D$56,D$57,D$63,D$67))*AVERAGE(E$46,E$50,E$51,E$56,E$57,E$63,E$67)*0.0001)</f>
        <v>650.33535158418169</v>
      </c>
      <c r="CF69" s="66"/>
      <c r="CG69" s="72">
        <f>CC69/(BY69*AVERAGE(D$46,D$50,D$51,D$56,D$57,D$63,D$67)*0.01)</f>
        <v>492.99135852090029</v>
      </c>
      <c r="CH69" s="433">
        <f t="shared" si="15"/>
        <v>0.6576742627345844</v>
      </c>
      <c r="CI69" s="66"/>
      <c r="CJ69" s="66"/>
      <c r="CK69" s="66"/>
      <c r="CL69" s="66"/>
      <c r="CM69" s="66"/>
      <c r="CN69" s="110"/>
    </row>
    <row r="70" spans="1:92" s="337" customFormat="1" ht="28.5">
      <c r="A70" s="309">
        <f t="shared" si="24"/>
        <v>41225</v>
      </c>
      <c r="B70" s="310">
        <v>0.51388888888888895</v>
      </c>
      <c r="C70" s="311">
        <f t="shared" si="5"/>
        <v>28.333333333333336</v>
      </c>
      <c r="D70" s="339">
        <v>3.22</v>
      </c>
      <c r="E70" s="365">
        <v>76.260000000000005</v>
      </c>
      <c r="F70" s="319"/>
      <c r="G70" s="319">
        <v>5.7</v>
      </c>
      <c r="H70" s="319"/>
      <c r="I70" s="319"/>
      <c r="J70" s="317"/>
      <c r="K70" s="317"/>
      <c r="L70" s="320"/>
      <c r="M70" s="317">
        <v>55</v>
      </c>
      <c r="N70" s="319">
        <v>85</v>
      </c>
      <c r="O70" s="414">
        <f>(N69-M70)*N$4/(C70-4)</f>
        <v>3.0969863013698626</v>
      </c>
      <c r="P70" s="465"/>
      <c r="Q70" s="465"/>
      <c r="R70" s="465"/>
      <c r="S70" s="317">
        <v>28</v>
      </c>
      <c r="T70" s="317">
        <v>28</v>
      </c>
      <c r="U70" s="317"/>
      <c r="V70" s="339">
        <v>2.23</v>
      </c>
      <c r="W70" s="365">
        <v>64.83</v>
      </c>
      <c r="X70" s="319"/>
      <c r="Y70" s="319"/>
      <c r="Z70" s="319"/>
      <c r="AA70" s="317"/>
      <c r="AB70" s="317"/>
      <c r="AC70" s="320"/>
      <c r="AD70" s="391">
        <f>D67*(100-E67)/(100-W70)</f>
        <v>2.0343474552175147</v>
      </c>
      <c r="AE70" s="387">
        <f>D67-V70</f>
        <v>0.87000000000000011</v>
      </c>
      <c r="AF70" s="393">
        <f>100*(AVERAGE(D67,D63,D57,D56,D51,D50)-V70)/AVERAGE(D67,D63,D57,D56,D51,D50)</f>
        <v>26.483516483516492</v>
      </c>
      <c r="AG70" s="393">
        <f>100*(1-((100-AVERAGE(E67,E63,E57,E56,E51,E50))/(100-W70)))</f>
        <v>30.736423087858977</v>
      </c>
      <c r="AH70" s="387">
        <f>E67-W70</f>
        <v>12.090000000000003</v>
      </c>
      <c r="AI70" s="393">
        <f>100*(1-((V70*W70)/(AVERAGE(D67,D63,D57,D56,D51,D50)*AVERAGE(E67,E63,E57,E56,E51,E50))))</f>
        <v>36.990036668778082</v>
      </c>
      <c r="AJ70" s="389">
        <f>100*100*((AVERAGE(E67,E63,E57,E56,E51,E50)-W70)/((100-W70)*AVERAGE(E67,E63,E57,E56,E51,E50)))</f>
        <v>40.635144219802989</v>
      </c>
      <c r="AK70" s="318">
        <v>7.15</v>
      </c>
      <c r="AL70" s="365">
        <v>34.200000000000003</v>
      </c>
      <c r="AM70" s="319">
        <v>402</v>
      </c>
      <c r="AN70" s="89">
        <f t="shared" si="45"/>
        <v>62.207999999999998</v>
      </c>
      <c r="AO70" s="89">
        <f t="shared" si="46"/>
        <v>22.71412037037037</v>
      </c>
      <c r="AP70" s="328">
        <v>211</v>
      </c>
      <c r="AQ70" s="76">
        <f>((AP70-AP$55)*AQ$2)+AQ$55</f>
        <v>50374.921875000007</v>
      </c>
      <c r="AR70" s="72">
        <f t="shared" si="47"/>
        <v>971.2297058823566</v>
      </c>
      <c r="AS70" s="161">
        <f t="shared" si="48"/>
        <v>40.467904411764856</v>
      </c>
      <c r="AT70" s="313">
        <f>AR70/(AN70*(AVERAGE(D$46,D$63,D$50,D$51,D$56,D$57,D$67))*AVERAGE(E$46,E$63,E$50,E$51,E$56,E$57,E$67)*0.0001)</f>
        <v>662.23691357396012</v>
      </c>
      <c r="AU70" s="313">
        <f>(AQ70-AQ43)/(AVERAGE(AN43:AN70)*((AVERAGE(D70,D67,D63,D57,D56,D51,D50,D46)*AVERAGE(E70,E67,E63,E57,E56,E51,E50,E46))-(V70*W70))*0.0001*(SUM(C43:C70)/24))</f>
        <v>1495.1605838202217</v>
      </c>
      <c r="AV70" s="143">
        <f>AR70/(AN70*AVERAGE(D$46,D$50,D$51,D$56,D$57,D$63,D$67)*0.01)</f>
        <v>502.01342259840885</v>
      </c>
      <c r="AW70" s="433">
        <f t="shared" si="49"/>
        <v>0.68735294117647316</v>
      </c>
      <c r="AX70" s="367">
        <v>69.599999999999994</v>
      </c>
      <c r="AY70" s="367">
        <v>30.2</v>
      </c>
      <c r="AZ70" s="313">
        <v>0</v>
      </c>
      <c r="BA70" s="313"/>
      <c r="BB70" s="313"/>
      <c r="BC70" s="415"/>
      <c r="BD70" s="368">
        <v>50</v>
      </c>
      <c r="BE70" s="330">
        <v>5</v>
      </c>
      <c r="BF70" s="317"/>
      <c r="BG70" s="339">
        <v>2.34</v>
      </c>
      <c r="BH70" s="464">
        <v>62.37</v>
      </c>
      <c r="BI70" s="319"/>
      <c r="BJ70" s="319"/>
      <c r="BK70" s="319"/>
      <c r="BL70" s="317"/>
      <c r="BM70" s="317"/>
      <c r="BN70" s="320"/>
      <c r="BO70" s="391">
        <f>D67*(100-E67)/(100-BH70)</f>
        <v>1.9013553016210469</v>
      </c>
      <c r="BP70" s="387">
        <f>D67-BG70</f>
        <v>0.76000000000000023</v>
      </c>
      <c r="BQ70" s="392">
        <f>100*(AVERAGE(D67,D63,D57,D56,D51,D50)-BG70)/AVERAGE(D67,D63,D57,D56,D51,D50)</f>
        <v>22.857142857142872</v>
      </c>
      <c r="BR70" s="393">
        <f>100*(1-((100-AVERAGE(E67,E63,E57,E56,E51,E50))/(100-BH70)))</f>
        <v>35.264416688812126</v>
      </c>
      <c r="BS70" s="387">
        <f>E67-BH70</f>
        <v>14.550000000000004</v>
      </c>
      <c r="BT70" s="392">
        <f>100*(1-((BG70*BH70)/(AVERAGE(D67,D63,D57,D56,D51,D50)*AVERAGE(E67,E63,E57,E56,E51,E50))))</f>
        <v>36.39079851930196</v>
      </c>
      <c r="BU70" s="389">
        <f>100*100*((AVERAGE(E67,E63,E57,E56,E51,E50)-BH70)/((100-BH70)*AVERAGE(E67,E63,E57,E56,E51,E50)))</f>
        <v>46.621386420957329</v>
      </c>
      <c r="BV70" s="318"/>
      <c r="BW70" s="365">
        <v>47.5</v>
      </c>
      <c r="BX70" s="319">
        <v>239</v>
      </c>
      <c r="BY70" s="462">
        <f t="shared" si="50"/>
        <v>37.27058823529412</v>
      </c>
      <c r="BZ70" s="462">
        <f t="shared" si="51"/>
        <v>20.015782828282827</v>
      </c>
      <c r="CA70" s="319">
        <v>101</v>
      </c>
      <c r="CB70" s="313">
        <f t="shared" si="35"/>
        <v>25528.690624999999</v>
      </c>
      <c r="CC70" s="334">
        <f t="shared" si="52"/>
        <v>467.53676470588232</v>
      </c>
      <c r="CD70" s="334">
        <f t="shared" si="53"/>
        <v>19.480698529411764</v>
      </c>
      <c r="CE70" s="72">
        <f>CC70/(BY70*(AVERAGE(D$46,D$50,D$51,D$56,D$57,D$63,D$67))*AVERAGE(E$46,E$50,E$51,E$56,E$57,E$63,E$67)*0.0001)</f>
        <v>532.09256038705769</v>
      </c>
      <c r="CF70" s="313">
        <f>(CB70-CB50)/(AVERAGE(BY50:BY70)*((AVERAGE(D57,D70,D67,D63,D51,D50,D56)*AVERAGE(E57,E70,E67,E63,E56,E51,E50))-(BG70*BH70))*0.0001*(SUM(C50:C70)/24))</f>
        <v>1376.2817306364118</v>
      </c>
      <c r="CG70" s="72">
        <f>CC70/(BY70*AVERAGE(D$46,D$50,D$51,D$56,D$57,D$63,D$67)*0.01)</f>
        <v>403.35656606255469</v>
      </c>
      <c r="CH70" s="433">
        <f t="shared" si="15"/>
        <v>0.62672488566472162</v>
      </c>
      <c r="CI70" s="319">
        <v>69.7</v>
      </c>
      <c r="CJ70" s="319">
        <v>30.7</v>
      </c>
      <c r="CK70" s="319">
        <v>0</v>
      </c>
      <c r="CL70" s="319"/>
      <c r="CM70" s="319"/>
      <c r="CN70" s="445" t="s">
        <v>111</v>
      </c>
    </row>
    <row r="71" spans="1:92" s="337" customFormat="1">
      <c r="A71" s="309">
        <f t="shared" si="24"/>
        <v>41226</v>
      </c>
      <c r="B71" s="307">
        <f>B69</f>
        <v>0.33333333333333331</v>
      </c>
      <c r="C71" s="311">
        <f t="shared" si="5"/>
        <v>19.666666666666664</v>
      </c>
      <c r="D71" s="318">
        <v>3.2</v>
      </c>
      <c r="E71" s="319">
        <v>76.5</v>
      </c>
      <c r="F71" s="441">
        <v>48500</v>
      </c>
      <c r="G71" s="319"/>
      <c r="H71" s="319">
        <v>42.2</v>
      </c>
      <c r="I71" s="348">
        <v>3558</v>
      </c>
      <c r="J71" s="315">
        <v>1068</v>
      </c>
      <c r="K71" s="315">
        <v>23</v>
      </c>
      <c r="L71" s="320">
        <v>184</v>
      </c>
      <c r="M71" s="317">
        <v>70</v>
      </c>
      <c r="N71" s="319">
        <v>70</v>
      </c>
      <c r="O71" s="316"/>
      <c r="P71" s="465"/>
      <c r="Q71" s="465"/>
      <c r="R71" s="465"/>
      <c r="S71" s="317"/>
      <c r="T71" s="317"/>
      <c r="U71" s="317"/>
      <c r="V71" s="318">
        <v>2.2000000000000002</v>
      </c>
      <c r="W71" s="319">
        <v>64.8</v>
      </c>
      <c r="X71" s="348">
        <v>28000</v>
      </c>
      <c r="Y71" s="319">
        <v>39.799999999999997</v>
      </c>
      <c r="Z71" s="348">
        <v>1217</v>
      </c>
      <c r="AA71" s="315">
        <v>252</v>
      </c>
      <c r="AB71" s="315">
        <v>54.9</v>
      </c>
      <c r="AC71" s="320">
        <v>196</v>
      </c>
      <c r="AD71" s="391">
        <f>D67*(100-E67)/(100-W71)</f>
        <v>2.0326136363636365</v>
      </c>
      <c r="AE71" s="387">
        <f>D67-V71</f>
        <v>0.89999999999999991</v>
      </c>
      <c r="AF71" s="393">
        <f>100*(AVERAGE(D67,D63,D56,D57,D50,D51)-V71)/AVERAGE(D67,D63,D56,D57,D50,D51)</f>
        <v>27.472527472527464</v>
      </c>
      <c r="AG71" s="393">
        <f>100*(1-((100-AVERAGE(E67,E63,E56,E57,E50,E51))/(100-W71)))</f>
        <v>30.795454545454547</v>
      </c>
      <c r="AH71" s="387">
        <f>E67-W71</f>
        <v>12.120000000000005</v>
      </c>
      <c r="AI71" s="393">
        <f>100*(1-((V71*W71)/(AVERAGE(D67,D63,D56,D57,D50,D51)*AVERAGE(E67,E63,E56,E57,E50,E51))))</f>
        <v>37.866469860124006</v>
      </c>
      <c r="AJ71" s="389">
        <f>100*100*((AVERAGE(E67,E63,E56,E57,E50,E51)-W71)/((100-W71)*AVERAGE(E67,E63,E56,E57,E50,E51)))</f>
        <v>40.713186866016066</v>
      </c>
      <c r="AK71" s="318"/>
      <c r="AL71" s="319">
        <v>35.6</v>
      </c>
      <c r="AM71" s="319">
        <v>424</v>
      </c>
      <c r="AN71" s="89">
        <f t="shared" si="45"/>
        <v>57.990508474576288</v>
      </c>
      <c r="AO71" s="89">
        <f t="shared" si="46"/>
        <v>24.366056397306391</v>
      </c>
      <c r="AP71" s="319">
        <v>224</v>
      </c>
      <c r="AQ71" s="76">
        <f t="shared" ref="AQ71:AQ92" si="54">((AP71-AP$55)*AQ$2)+AQ$55</f>
        <v>51159.431250000009</v>
      </c>
      <c r="AR71" s="72">
        <f t="shared" ref="AR71:AR76" si="55">(AQ71-AQ70)/(C71/24)</f>
        <v>957.36737288135782</v>
      </c>
      <c r="AS71" s="161">
        <f t="shared" ref="AS71:AS76" si="56">(AQ71-AQ70)/C71</f>
        <v>39.890307203389909</v>
      </c>
      <c r="AT71" s="313">
        <f>AR71/(AN71*(AVERAGE(D$70,D$63,D$50,D$51,D$56,D$57,D$67))*AVERAGE(E$70,E$63,E$50,E$51,E$56,E$57,E$67)*0.0001)</f>
        <v>712.42723770421674</v>
      </c>
      <c r="AU71" s="313">
        <f>(AQ71-AQ44)/(AVERAGE(AN44:AN71)*((AVERAGE(D70,D67,D63,D57,D56,D50,D51,D46)*AVERAGE(E70,E67,E63,E57,E56,E50,E51,E46))-(V71*W71))*0.0001*(SUM(C44:C71)/24))</f>
        <v>1458.1377349373895</v>
      </c>
      <c r="AV71" s="143">
        <f>AR71/(AN71*AVERAGE(D$70,D$50,D$51,D$56,D$57,D$63,D$67)*0.01)</f>
        <v>539.51096958143614</v>
      </c>
      <c r="AW71" s="433">
        <f t="shared" si="49"/>
        <v>0.67754237288135732</v>
      </c>
      <c r="AX71" s="319"/>
      <c r="AY71" s="319"/>
      <c r="AZ71" s="319"/>
      <c r="BA71" s="319"/>
      <c r="BB71" s="319"/>
      <c r="BC71" s="415"/>
      <c r="BD71" s="368"/>
      <c r="BE71" s="330"/>
      <c r="BF71" s="317"/>
      <c r="BG71" s="318">
        <v>2.4</v>
      </c>
      <c r="BH71" s="454">
        <v>63.6</v>
      </c>
      <c r="BI71" s="348">
        <v>31900</v>
      </c>
      <c r="BJ71" s="348">
        <v>33.299999999999997</v>
      </c>
      <c r="BK71" s="348">
        <v>2639</v>
      </c>
      <c r="BL71" s="315">
        <v>325</v>
      </c>
      <c r="BM71" s="315">
        <v>62.9</v>
      </c>
      <c r="BN71" s="320">
        <v>154</v>
      </c>
      <c r="BO71" s="391">
        <f>D67*(100-E67)/(100-BH71)</f>
        <v>1.9656043956043958</v>
      </c>
      <c r="BP71" s="387">
        <f>D67-BG71</f>
        <v>0.70000000000000018</v>
      </c>
      <c r="BQ71" s="392">
        <f>100*(AVERAGE(D67,D63,D56,D70,D57,D51,D50)-BG71)/AVERAGE(D67,D63,D56,D70,D57,D51,D50)</f>
        <v>21.568627450980397</v>
      </c>
      <c r="BR71" s="393">
        <f>100*(1-((100-AVERAGE(E67,E63,E56,E70,E57,E51,E50))/(100-BH71)))</f>
        <v>33.320251177394034</v>
      </c>
      <c r="BS71" s="387">
        <f>E67-BH71</f>
        <v>13.32</v>
      </c>
      <c r="BT71" s="392">
        <f>100*(1-((BG71*BH71)/(AVERAGE(D67,D63,D56,D70,D57,D51,D50)*AVERAGE(E67,E63,E56,E70,E57,E51,E50))))</f>
        <v>34.130075346494003</v>
      </c>
      <c r="BU71" s="389">
        <f>100*100*((AVERAGE(E67,E63,E56,E70,E57,E51,E50)-BH71)/((100-BH71)*AVERAGE(E67,E63,E56,E70,E57,E51,E50)))</f>
        <v>43.999577106538055</v>
      </c>
      <c r="BV71" s="318">
        <v>7.35</v>
      </c>
      <c r="BW71" s="327">
        <v>51</v>
      </c>
      <c r="BX71" s="319">
        <v>250</v>
      </c>
      <c r="BY71" s="462">
        <f t="shared" ref="BY71:BY76" si="57">(BX71-BX70)*CB$1/((C71)/24)</f>
        <v>26.847457627118647</v>
      </c>
      <c r="BZ71" s="462">
        <f t="shared" ref="BZ71:BZ76" si="58">CB$3/BY71</f>
        <v>27.786616161616159</v>
      </c>
      <c r="CA71" s="319">
        <v>110</v>
      </c>
      <c r="CB71" s="313">
        <f t="shared" si="35"/>
        <v>26080.643749999999</v>
      </c>
      <c r="CC71" s="334">
        <f t="shared" ref="CC71:CC76" si="59">(CB71-CB70)/((C71/24))</f>
        <v>673.56991525423734</v>
      </c>
      <c r="CD71" s="334">
        <f t="shared" ref="CD71:CD76" si="60">(CB71-CB70)/(C71)</f>
        <v>28.065413135593225</v>
      </c>
      <c r="CE71" s="72">
        <f>CC71/(BY71*(AVERAGE(D$70,D$50,D$51,D$56,D$57,D$63,D$67))*AVERAGE(E$70,E$50,E$51,E$56,E$57,E$63,E$67)*0.0001)</f>
        <v>1082.6755394754493</v>
      </c>
      <c r="CF71" s="313">
        <f>(CB71-CB50)/(AVERAGE(BY50:BY71)*((AVERAGE(D56,D70,D67,D63,D50,D51,D57)*AVERAGE(E56,E70,E67,E63,E57,E50,E51))-(BG71*BH71))*0.0001*(SUM(C50:C71)/24))</f>
        <v>1547.1271103089882</v>
      </c>
      <c r="CG71" s="72">
        <f>CC71/(BY71*AVERAGE(D$70,D$50,D$51,D$56,D$57,D$63,D$67)*0.01)</f>
        <v>819.89471925133682</v>
      </c>
      <c r="CH71" s="433">
        <f t="shared" si="15"/>
        <v>0.90290873358476853</v>
      </c>
      <c r="CI71" s="319"/>
      <c r="CJ71" s="319"/>
      <c r="CK71" s="319"/>
      <c r="CL71" s="319"/>
      <c r="CM71" s="319"/>
      <c r="CN71" s="445"/>
    </row>
    <row r="72" spans="1:92">
      <c r="A72" s="378">
        <f t="shared" si="24"/>
        <v>41227</v>
      </c>
      <c r="B72" s="307">
        <f t="shared" si="44"/>
        <v>0.33333333333333331</v>
      </c>
      <c r="C72" s="304">
        <f t="shared" si="5"/>
        <v>24</v>
      </c>
      <c r="D72" s="65"/>
      <c r="E72" s="66"/>
      <c r="F72" s="66"/>
      <c r="G72" s="66"/>
      <c r="H72" s="66"/>
      <c r="I72" s="66"/>
      <c r="J72" s="86"/>
      <c r="K72" s="86"/>
      <c r="L72" s="63"/>
      <c r="M72" s="86">
        <v>50</v>
      </c>
      <c r="N72" s="66">
        <v>85</v>
      </c>
      <c r="O72" s="414">
        <f>(N71-M72)*N$4/(C72+4.5)</f>
        <v>3.5256140350877194</v>
      </c>
      <c r="P72" s="465"/>
      <c r="Q72" s="465"/>
      <c r="R72" s="465"/>
      <c r="S72" s="86"/>
      <c r="T72" s="86"/>
      <c r="U72" s="86"/>
      <c r="V72" s="65"/>
      <c r="W72" s="66"/>
      <c r="X72" s="66"/>
      <c r="Y72" s="66"/>
      <c r="Z72" s="66"/>
      <c r="AA72" s="86"/>
      <c r="AB72" s="86"/>
      <c r="AC72" s="63"/>
      <c r="AD72" s="87"/>
      <c r="AE72" s="87"/>
      <c r="AF72" s="87"/>
      <c r="AG72" s="66"/>
      <c r="AH72" s="66"/>
      <c r="AI72" s="87"/>
      <c r="AJ72" s="63"/>
      <c r="AK72" s="65"/>
      <c r="AL72" s="66">
        <v>35.700000000000003</v>
      </c>
      <c r="AM72" s="66">
        <v>452</v>
      </c>
      <c r="AN72" s="89">
        <f t="shared" si="45"/>
        <v>60.480000000000004</v>
      </c>
      <c r="AO72" s="89">
        <f t="shared" si="46"/>
        <v>23.363095238095237</v>
      </c>
      <c r="AP72" s="76">
        <v>241</v>
      </c>
      <c r="AQ72" s="76">
        <f t="shared" si="54"/>
        <v>52185.328125000007</v>
      </c>
      <c r="AR72" s="72">
        <f t="shared" si="55"/>
        <v>1025.8968749999985</v>
      </c>
      <c r="AS72" s="161">
        <f t="shared" si="56"/>
        <v>42.745703124999942</v>
      </c>
      <c r="AT72" s="72">
        <f>AR72/(AN72*(AVERAGE(D$70,D$71,D$63,D$50,D$51,D$56,D$57,D$67))*AVERAGE(E$70,E$71,E$63,E$50,E$51,E$56,E$57,E$67)*0.0001)</f>
        <v>726.91133968946326</v>
      </c>
      <c r="AU72" s="72"/>
      <c r="AV72" s="143">
        <f t="shared" ref="AV72:AV78" si="61">AR72/(AN72*AVERAGE(D$70,D$71,D$50,D$51,D$56,D$57,D$63,D$67)*0.01)</f>
        <v>551.1805233195355</v>
      </c>
      <c r="AW72" s="433">
        <f t="shared" si="49"/>
        <v>0.72604166666666559</v>
      </c>
      <c r="AX72" s="72"/>
      <c r="AY72" s="72"/>
      <c r="AZ72" s="72"/>
      <c r="BA72" s="72"/>
      <c r="BB72" s="72"/>
      <c r="BC72" s="63"/>
      <c r="BD72" s="64"/>
      <c r="BE72" s="147"/>
      <c r="BF72" s="86"/>
      <c r="BG72" s="65"/>
      <c r="BH72" s="66"/>
      <c r="BI72" s="66"/>
      <c r="BJ72" s="66"/>
      <c r="BK72" s="66"/>
      <c r="BL72" s="86"/>
      <c r="BM72" s="86"/>
      <c r="BN72" s="63"/>
      <c r="BO72" s="87"/>
      <c r="BP72" s="87"/>
      <c r="BQ72" s="87"/>
      <c r="BR72" s="66"/>
      <c r="BS72" s="64"/>
      <c r="BT72" s="66"/>
      <c r="BU72" s="67"/>
      <c r="BV72" s="65"/>
      <c r="BW72" s="66">
        <v>51.1</v>
      </c>
      <c r="BX72" s="66">
        <v>266</v>
      </c>
      <c r="BY72" s="443">
        <f t="shared" si="57"/>
        <v>32</v>
      </c>
      <c r="BZ72" s="443">
        <f t="shared" si="58"/>
        <v>23.3125</v>
      </c>
      <c r="CA72" s="66">
        <v>119</v>
      </c>
      <c r="CB72" s="72">
        <f t="shared" si="35"/>
        <v>26632.596874999999</v>
      </c>
      <c r="CC72" s="289">
        <f t="shared" si="59"/>
        <v>551.953125</v>
      </c>
      <c r="CD72" s="289">
        <f t="shared" si="60"/>
        <v>22.998046875</v>
      </c>
      <c r="CE72" s="72">
        <f t="shared" ref="CE72:CE78" si="62">CC72/(BY72*(AVERAGE(D$70,D$71,D$50,D$51,D$56,D$57,D$63,D$67))*AVERAGE(E$70,E$71,E$50,E$51,E$56,E$57,E$63,E$67)*0.0001)</f>
        <v>739.16558393817479</v>
      </c>
      <c r="CF72" s="151"/>
      <c r="CG72" s="72">
        <f t="shared" ref="CG72:CG78" si="63">CC72/(BY72*AVERAGE(D$70,D$50,D$51,D$56,D$57,D$63,D$67)*0.01)</f>
        <v>563.67761948529403</v>
      </c>
      <c r="CH72" s="433">
        <f t="shared" si="15"/>
        <v>0.73988354557640745</v>
      </c>
      <c r="CI72" s="151"/>
      <c r="CJ72" s="151"/>
      <c r="CK72" s="151"/>
      <c r="CL72" s="151"/>
      <c r="CM72" s="151"/>
      <c r="CN72" s="110"/>
    </row>
    <row r="73" spans="1:92">
      <c r="A73" s="378">
        <f t="shared" si="24"/>
        <v>41228</v>
      </c>
      <c r="B73" s="307">
        <f t="shared" si="44"/>
        <v>0.33333333333333331</v>
      </c>
      <c r="C73" s="304">
        <f t="shared" si="5"/>
        <v>24</v>
      </c>
      <c r="D73" s="65"/>
      <c r="E73" s="66"/>
      <c r="F73" s="66"/>
      <c r="G73" s="66"/>
      <c r="H73" s="66"/>
      <c r="I73" s="66"/>
      <c r="J73" s="86"/>
      <c r="K73" s="86"/>
      <c r="L73" s="63"/>
      <c r="M73" s="86"/>
      <c r="N73" s="66"/>
      <c r="O73" s="261"/>
      <c r="P73" s="465"/>
      <c r="Q73" s="465"/>
      <c r="R73" s="465"/>
      <c r="S73" s="86"/>
      <c r="T73" s="86"/>
      <c r="U73" s="86"/>
      <c r="V73" s="65"/>
      <c r="W73" s="66"/>
      <c r="X73" s="66"/>
      <c r="Y73" s="66"/>
      <c r="Z73" s="66"/>
      <c r="AA73" s="86"/>
      <c r="AB73" s="86"/>
      <c r="AC73" s="63"/>
      <c r="AD73" s="87"/>
      <c r="AE73" s="87"/>
      <c r="AF73" s="87"/>
      <c r="AG73" s="66"/>
      <c r="AH73" s="66"/>
      <c r="AI73" s="87"/>
      <c r="AJ73" s="63"/>
      <c r="AK73" s="65"/>
      <c r="AL73" s="66">
        <v>35.6</v>
      </c>
      <c r="AM73" s="66">
        <v>480</v>
      </c>
      <c r="AN73" s="89">
        <f>(AM73-AM72)*AQ$1/((C73)/24)</f>
        <v>60.480000000000004</v>
      </c>
      <c r="AO73" s="89">
        <f t="shared" si="46"/>
        <v>23.363095238095237</v>
      </c>
      <c r="AP73" s="76">
        <v>259</v>
      </c>
      <c r="AQ73" s="76">
        <f t="shared" si="54"/>
        <v>53271.571875000009</v>
      </c>
      <c r="AR73" s="72">
        <f t="shared" si="55"/>
        <v>1086.2437500000015</v>
      </c>
      <c r="AS73" s="161">
        <f t="shared" si="56"/>
        <v>45.260156250000058</v>
      </c>
      <c r="AT73" s="72">
        <f t="shared" ref="AT73:AT78" si="64">AR73/(AN73*(AVERAGE(D$70,D$71,D$63,D$50,D$51,D$56,D$57,D$67))*AVERAGE(E$70,E$71,E$63,E$50,E$51,E$56,E$57,E$67)*0.0001)</f>
        <v>769.67083025943384</v>
      </c>
      <c r="AU73" s="72"/>
      <c r="AV73" s="143">
        <f t="shared" si="61"/>
        <v>583.60290704421561</v>
      </c>
      <c r="AW73" s="433">
        <f t="shared" si="49"/>
        <v>0.76875000000000104</v>
      </c>
      <c r="AX73" s="72"/>
      <c r="AY73" s="72"/>
      <c r="AZ73" s="72"/>
      <c r="BA73" s="72"/>
      <c r="BB73" s="72"/>
      <c r="BC73" s="102"/>
      <c r="BD73" s="64"/>
      <c r="BE73" s="147"/>
      <c r="BF73" s="86"/>
      <c r="BG73" s="65"/>
      <c r="BH73" s="66"/>
      <c r="BI73" s="66"/>
      <c r="BJ73" s="66"/>
      <c r="BK73" s="66"/>
      <c r="BL73" s="86"/>
      <c r="BM73" s="86"/>
      <c r="BN73" s="63"/>
      <c r="BO73" s="87"/>
      <c r="BP73" s="87"/>
      <c r="BQ73" s="87"/>
      <c r="BR73" s="66"/>
      <c r="BS73" s="64"/>
      <c r="BT73" s="66"/>
      <c r="BU73" s="67"/>
      <c r="BV73" s="65"/>
      <c r="BW73" s="66">
        <v>51.1</v>
      </c>
      <c r="BX73" s="66">
        <v>282</v>
      </c>
      <c r="BY73" s="443">
        <f t="shared" si="57"/>
        <v>32</v>
      </c>
      <c r="BZ73" s="443">
        <f t="shared" si="58"/>
        <v>23.3125</v>
      </c>
      <c r="CA73" s="66">
        <v>127</v>
      </c>
      <c r="CB73" s="72">
        <f t="shared" si="35"/>
        <v>27123.221874999999</v>
      </c>
      <c r="CC73" s="289">
        <f t="shared" si="59"/>
        <v>490.625</v>
      </c>
      <c r="CD73" s="289">
        <f t="shared" si="60"/>
        <v>20.442708333333332</v>
      </c>
      <c r="CE73" s="72">
        <f t="shared" si="62"/>
        <v>657.036074611711</v>
      </c>
      <c r="CF73" s="151"/>
      <c r="CG73" s="72">
        <f t="shared" si="63"/>
        <v>501.04677287581694</v>
      </c>
      <c r="CH73" s="433">
        <f t="shared" si="15"/>
        <v>0.6576742627345844</v>
      </c>
      <c r="CI73" s="151"/>
      <c r="CJ73" s="151"/>
      <c r="CK73" s="151"/>
      <c r="CL73" s="151"/>
      <c r="CM73" s="151"/>
      <c r="CN73" s="110"/>
    </row>
    <row r="74" spans="1:92" s="69" customFormat="1">
      <c r="A74" s="378">
        <f t="shared" si="24"/>
        <v>41229</v>
      </c>
      <c r="B74" s="307">
        <f t="shared" si="44"/>
        <v>0.33333333333333331</v>
      </c>
      <c r="C74" s="304">
        <f t="shared" si="5"/>
        <v>24</v>
      </c>
      <c r="D74" s="65"/>
      <c r="E74" s="66"/>
      <c r="F74" s="183"/>
      <c r="G74" s="66"/>
      <c r="H74" s="66"/>
      <c r="I74" s="76"/>
      <c r="J74" s="256"/>
      <c r="K74" s="256"/>
      <c r="L74" s="63"/>
      <c r="M74" s="86">
        <v>55</v>
      </c>
      <c r="N74" s="66">
        <v>85</v>
      </c>
      <c r="O74" s="414">
        <f>(N72-M74)*N$4/(C74+C73+2)</f>
        <v>3.0144000000000002</v>
      </c>
      <c r="P74" s="465"/>
      <c r="Q74" s="465"/>
      <c r="R74" s="465"/>
      <c r="S74" s="86"/>
      <c r="T74" s="86"/>
      <c r="U74" s="86"/>
      <c r="V74" s="65"/>
      <c r="W74" s="66"/>
      <c r="X74" s="76"/>
      <c r="Y74" s="66"/>
      <c r="Z74" s="76"/>
      <c r="AA74" s="256"/>
      <c r="AB74" s="256"/>
      <c r="AC74" s="63"/>
      <c r="AD74" s="93"/>
      <c r="AE74" s="83"/>
      <c r="AF74" s="88"/>
      <c r="AG74" s="85"/>
      <c r="AH74" s="75"/>
      <c r="AI74" s="83"/>
      <c r="AJ74" s="195"/>
      <c r="AK74" s="65"/>
      <c r="AL74" s="66">
        <v>35.700000000000003</v>
      </c>
      <c r="AM74" s="66">
        <v>508</v>
      </c>
      <c r="AN74" s="89">
        <f t="shared" si="45"/>
        <v>60.480000000000004</v>
      </c>
      <c r="AO74" s="89">
        <f t="shared" si="46"/>
        <v>23.363095238095237</v>
      </c>
      <c r="AP74" s="66">
        <v>277</v>
      </c>
      <c r="AQ74" s="76">
        <f t="shared" si="54"/>
        <v>54357.815625000003</v>
      </c>
      <c r="AR74" s="72">
        <f t="shared" si="55"/>
        <v>1086.2437499999942</v>
      </c>
      <c r="AS74" s="161">
        <f t="shared" si="56"/>
        <v>45.26015624999976</v>
      </c>
      <c r="AT74" s="72">
        <f t="shared" si="64"/>
        <v>769.67083025942873</v>
      </c>
      <c r="AU74" s="85"/>
      <c r="AV74" s="143">
        <f t="shared" si="61"/>
        <v>583.60290704421175</v>
      </c>
      <c r="AW74" s="433">
        <f t="shared" si="49"/>
        <v>0.76874999999999583</v>
      </c>
      <c r="AX74" s="66"/>
      <c r="AY74" s="66"/>
      <c r="AZ74" s="66"/>
      <c r="BA74" s="66"/>
      <c r="BB74" s="66"/>
      <c r="BC74" s="102"/>
      <c r="BD74" s="64"/>
      <c r="BE74" s="147"/>
      <c r="BF74" s="86"/>
      <c r="BG74" s="65"/>
      <c r="BH74" s="76"/>
      <c r="BI74" s="76"/>
      <c r="BJ74" s="76"/>
      <c r="BK74" s="76"/>
      <c r="BL74" s="256"/>
      <c r="BM74" s="256"/>
      <c r="BN74" s="63"/>
      <c r="BO74" s="93"/>
      <c r="BP74" s="83"/>
      <c r="BQ74" s="88"/>
      <c r="BR74" s="85"/>
      <c r="BS74" s="194"/>
      <c r="BT74" s="75"/>
      <c r="BU74" s="179"/>
      <c r="BV74" s="65"/>
      <c r="BW74" s="66">
        <v>51.1</v>
      </c>
      <c r="BX74" s="66">
        <v>298</v>
      </c>
      <c r="BY74" s="443">
        <f t="shared" si="57"/>
        <v>32</v>
      </c>
      <c r="BZ74" s="443">
        <f t="shared" si="58"/>
        <v>23.3125</v>
      </c>
      <c r="CA74" s="66">
        <v>136</v>
      </c>
      <c r="CB74" s="72">
        <f t="shared" si="35"/>
        <v>27675.174999999999</v>
      </c>
      <c r="CC74" s="289">
        <f t="shared" si="59"/>
        <v>551.953125</v>
      </c>
      <c r="CD74" s="289">
        <f t="shared" si="60"/>
        <v>22.998046875</v>
      </c>
      <c r="CE74" s="72">
        <f t="shared" si="62"/>
        <v>739.16558393817479</v>
      </c>
      <c r="CF74" s="161"/>
      <c r="CG74" s="72">
        <f t="shared" si="63"/>
        <v>563.67761948529403</v>
      </c>
      <c r="CH74" s="433">
        <f t="shared" si="15"/>
        <v>0.73988354557640745</v>
      </c>
      <c r="CI74" s="66"/>
      <c r="CJ74" s="66"/>
      <c r="CK74" s="66"/>
      <c r="CL74" s="66"/>
      <c r="CM74" s="66"/>
      <c r="CN74" s="106"/>
    </row>
    <row r="75" spans="1:92">
      <c r="A75" s="378">
        <f t="shared" si="24"/>
        <v>41230</v>
      </c>
      <c r="B75" s="307">
        <f t="shared" si="44"/>
        <v>0.33333333333333331</v>
      </c>
      <c r="C75" s="304">
        <f t="shared" si="5"/>
        <v>24</v>
      </c>
      <c r="D75" s="65"/>
      <c r="E75" s="66"/>
      <c r="F75" s="66"/>
      <c r="G75" s="66"/>
      <c r="H75" s="66"/>
      <c r="I75" s="66"/>
      <c r="J75" s="86"/>
      <c r="K75" s="86"/>
      <c r="L75" s="63"/>
      <c r="M75" s="86"/>
      <c r="N75" s="66"/>
      <c r="O75" s="264"/>
      <c r="P75" s="466"/>
      <c r="Q75" s="466"/>
      <c r="R75" s="466"/>
      <c r="S75" s="86"/>
      <c r="T75" s="86"/>
      <c r="U75" s="86"/>
      <c r="V75" s="65"/>
      <c r="W75" s="66"/>
      <c r="X75" s="66"/>
      <c r="Y75" s="66"/>
      <c r="Z75" s="66"/>
      <c r="AA75" s="86"/>
      <c r="AB75" s="86"/>
      <c r="AC75" s="63"/>
      <c r="AD75" s="87"/>
      <c r="AE75" s="87"/>
      <c r="AF75" s="87"/>
      <c r="AG75" s="66"/>
      <c r="AH75" s="66"/>
      <c r="AI75" s="87"/>
      <c r="AJ75" s="63"/>
      <c r="AK75" s="65"/>
      <c r="AL75" s="66">
        <v>35.6</v>
      </c>
      <c r="AM75" s="66">
        <v>536</v>
      </c>
      <c r="AN75" s="89">
        <f t="shared" si="45"/>
        <v>60.480000000000004</v>
      </c>
      <c r="AO75" s="89">
        <f t="shared" si="46"/>
        <v>23.363095238095237</v>
      </c>
      <c r="AP75" s="76">
        <v>294</v>
      </c>
      <c r="AQ75" s="76">
        <f t="shared" si="54"/>
        <v>55383.712500000009</v>
      </c>
      <c r="AR75" s="72">
        <f t="shared" si="55"/>
        <v>1025.8968750000058</v>
      </c>
      <c r="AS75" s="161">
        <f t="shared" si="56"/>
        <v>42.74570312500024</v>
      </c>
      <c r="AT75" s="72">
        <f t="shared" si="64"/>
        <v>726.91133968946849</v>
      </c>
      <c r="AU75" s="66"/>
      <c r="AV75" s="143">
        <f t="shared" si="61"/>
        <v>551.18052331953936</v>
      </c>
      <c r="AW75" s="433">
        <f t="shared" si="49"/>
        <v>0.7260416666666708</v>
      </c>
      <c r="AX75" s="66"/>
      <c r="AY75" s="66"/>
      <c r="AZ75" s="66"/>
      <c r="BA75" s="66"/>
      <c r="BB75" s="66"/>
      <c r="BC75" s="63"/>
      <c r="BD75" s="64"/>
      <c r="BE75" s="147"/>
      <c r="BF75" s="86"/>
      <c r="BG75" s="65"/>
      <c r="BH75" s="66"/>
      <c r="BI75" s="66"/>
      <c r="BJ75" s="66"/>
      <c r="BK75" s="66"/>
      <c r="BL75" s="86"/>
      <c r="BM75" s="86"/>
      <c r="BN75" s="63"/>
      <c r="BO75" s="87"/>
      <c r="BP75" s="87"/>
      <c r="BQ75" s="87"/>
      <c r="BR75" s="66"/>
      <c r="BS75" s="64"/>
      <c r="BT75" s="66"/>
      <c r="BU75" s="67"/>
      <c r="BV75" s="72"/>
      <c r="BW75" s="85">
        <v>51.1</v>
      </c>
      <c r="BX75" s="72">
        <v>314</v>
      </c>
      <c r="BY75" s="443">
        <f t="shared" si="57"/>
        <v>32</v>
      </c>
      <c r="BZ75" s="443">
        <f t="shared" si="58"/>
        <v>23.3125</v>
      </c>
      <c r="CA75" s="66">
        <v>145</v>
      </c>
      <c r="CB75" s="72">
        <f t="shared" si="35"/>
        <v>28227.128124999999</v>
      </c>
      <c r="CC75" s="289">
        <f t="shared" si="59"/>
        <v>551.953125</v>
      </c>
      <c r="CD75" s="289">
        <f t="shared" si="60"/>
        <v>22.998046875</v>
      </c>
      <c r="CE75" s="72">
        <f t="shared" si="62"/>
        <v>739.16558393817479</v>
      </c>
      <c r="CF75" s="66"/>
      <c r="CG75" s="72">
        <f t="shared" si="63"/>
        <v>563.67761948529403</v>
      </c>
      <c r="CH75" s="433">
        <f t="shared" si="15"/>
        <v>0.73988354557640745</v>
      </c>
      <c r="CI75" s="66"/>
      <c r="CJ75" s="66"/>
      <c r="CK75" s="66"/>
      <c r="CL75" s="66"/>
      <c r="CM75" s="66"/>
      <c r="CN75" s="101"/>
    </row>
    <row r="76" spans="1:92">
      <c r="A76" s="378">
        <f t="shared" si="24"/>
        <v>41231</v>
      </c>
      <c r="B76" s="307">
        <f t="shared" si="44"/>
        <v>0.33333333333333331</v>
      </c>
      <c r="C76" s="304">
        <f t="shared" si="5"/>
        <v>24</v>
      </c>
      <c r="D76" s="65"/>
      <c r="E76" s="66"/>
      <c r="F76" s="66"/>
      <c r="G76" s="66"/>
      <c r="H76" s="66"/>
      <c r="I76" s="66"/>
      <c r="J76" s="86"/>
      <c r="K76" s="86"/>
      <c r="L76" s="63"/>
      <c r="M76" s="86"/>
      <c r="N76" s="66"/>
      <c r="O76" s="261"/>
      <c r="P76" s="465"/>
      <c r="Q76" s="465"/>
      <c r="R76" s="465"/>
      <c r="S76" s="86"/>
      <c r="T76" s="86"/>
      <c r="U76" s="86"/>
      <c r="V76" s="65"/>
      <c r="W76" s="66"/>
      <c r="X76" s="66"/>
      <c r="Y76" s="66"/>
      <c r="Z76" s="66"/>
      <c r="AA76" s="86"/>
      <c r="AB76" s="86"/>
      <c r="AC76" s="63"/>
      <c r="AD76" s="87"/>
      <c r="AE76" s="87"/>
      <c r="AF76" s="87"/>
      <c r="AG76" s="66"/>
      <c r="AH76" s="66"/>
      <c r="AI76" s="87"/>
      <c r="AJ76" s="63"/>
      <c r="AK76" s="65"/>
      <c r="AL76" s="66">
        <v>35.6</v>
      </c>
      <c r="AM76" s="66">
        <v>564</v>
      </c>
      <c r="AN76" s="89">
        <f t="shared" si="45"/>
        <v>60.480000000000004</v>
      </c>
      <c r="AO76" s="89">
        <f t="shared" si="46"/>
        <v>23.363095238095237</v>
      </c>
      <c r="AP76" s="76">
        <v>309</v>
      </c>
      <c r="AQ76" s="76">
        <f t="shared" si="54"/>
        <v>56288.915625000009</v>
      </c>
      <c r="AR76" s="72">
        <f t="shared" si="55"/>
        <v>905.203125</v>
      </c>
      <c r="AS76" s="161">
        <f t="shared" si="56"/>
        <v>37.716796875</v>
      </c>
      <c r="AT76" s="72">
        <f t="shared" si="64"/>
        <v>641.39235854952733</v>
      </c>
      <c r="AU76" s="66"/>
      <c r="AV76" s="143">
        <f t="shared" si="61"/>
        <v>486.33575587017901</v>
      </c>
      <c r="AW76" s="433">
        <f t="shared" si="49"/>
        <v>0.640625</v>
      </c>
      <c r="AX76" s="66"/>
      <c r="AY76" s="66"/>
      <c r="AZ76" s="66"/>
      <c r="BA76" s="66"/>
      <c r="BB76" s="66"/>
      <c r="BC76" s="63"/>
      <c r="BD76" s="64"/>
      <c r="BE76" s="147"/>
      <c r="BF76" s="86"/>
      <c r="BG76" s="65"/>
      <c r="BH76" s="66"/>
      <c r="BI76" s="66"/>
      <c r="BJ76" s="66"/>
      <c r="BK76" s="66"/>
      <c r="BL76" s="86"/>
      <c r="BM76" s="86"/>
      <c r="BN76" s="63"/>
      <c r="BO76" s="87"/>
      <c r="BP76" s="87"/>
      <c r="BQ76" s="87"/>
      <c r="BR76" s="66"/>
      <c r="BS76" s="64"/>
      <c r="BT76" s="66"/>
      <c r="BU76" s="67"/>
      <c r="BV76" s="72"/>
      <c r="BW76" s="85">
        <v>51.1</v>
      </c>
      <c r="BX76" s="72">
        <v>330</v>
      </c>
      <c r="BY76" s="443">
        <f t="shared" si="57"/>
        <v>32</v>
      </c>
      <c r="BZ76" s="443">
        <f t="shared" si="58"/>
        <v>23.3125</v>
      </c>
      <c r="CA76" s="72">
        <v>152</v>
      </c>
      <c r="CB76" s="72">
        <f t="shared" si="35"/>
        <v>28656.424999999999</v>
      </c>
      <c r="CC76" s="289">
        <f t="shared" si="59"/>
        <v>429.296875</v>
      </c>
      <c r="CD76" s="289">
        <f t="shared" si="60"/>
        <v>17.887369791666668</v>
      </c>
      <c r="CE76" s="72">
        <f t="shared" si="62"/>
        <v>574.9065652852471</v>
      </c>
      <c r="CF76" s="72"/>
      <c r="CG76" s="72">
        <f t="shared" si="63"/>
        <v>438.41592626633985</v>
      </c>
      <c r="CH76" s="433">
        <f t="shared" si="15"/>
        <v>0.57546497989276135</v>
      </c>
      <c r="CI76" s="72"/>
      <c r="CJ76" s="72"/>
      <c r="CK76" s="72"/>
      <c r="CL76" s="72"/>
      <c r="CM76" s="72"/>
      <c r="CN76" s="101"/>
    </row>
    <row r="77" spans="1:92">
      <c r="A77" s="378">
        <f t="shared" si="24"/>
        <v>41232</v>
      </c>
      <c r="B77" s="307">
        <v>0.29166666666666669</v>
      </c>
      <c r="C77" s="304">
        <f t="shared" si="5"/>
        <v>23</v>
      </c>
      <c r="D77" s="65"/>
      <c r="E77" s="66"/>
      <c r="F77" s="66"/>
      <c r="G77" s="66"/>
      <c r="H77" s="66"/>
      <c r="I77" s="66"/>
      <c r="J77" s="86"/>
      <c r="K77" s="86"/>
      <c r="L77" s="63"/>
      <c r="M77" s="86">
        <v>50</v>
      </c>
      <c r="N77" s="66">
        <v>85</v>
      </c>
      <c r="O77" s="414">
        <f>(N74-M77)*N$4/(C77+C76+C75-2+6.5)</f>
        <v>2.3290066225165562</v>
      </c>
      <c r="P77" s="466"/>
      <c r="Q77" s="466"/>
      <c r="R77" s="466"/>
      <c r="S77" s="86">
        <v>60</v>
      </c>
      <c r="T77" s="86">
        <v>5</v>
      </c>
      <c r="U77" s="86"/>
      <c r="V77" s="65"/>
      <c r="W77" s="66"/>
      <c r="X77" s="66"/>
      <c r="Y77" s="66"/>
      <c r="Z77" s="66"/>
      <c r="AA77" s="86"/>
      <c r="AB77" s="86"/>
      <c r="AC77" s="63"/>
      <c r="AD77" s="87"/>
      <c r="AE77" s="87"/>
      <c r="AF77" s="87"/>
      <c r="AG77" s="66"/>
      <c r="AH77" s="66"/>
      <c r="AI77" s="87"/>
      <c r="AJ77" s="63"/>
      <c r="AK77" s="65"/>
      <c r="AL77" s="66">
        <v>35.6</v>
      </c>
      <c r="AM77" s="66">
        <v>591</v>
      </c>
      <c r="AN77" s="89">
        <f t="shared" ref="AN77:AN83" si="65">(AM77-AM76)*AQ$1/((C77)/24)</f>
        <v>60.85565217391305</v>
      </c>
      <c r="AO77" s="89">
        <f t="shared" ref="AO77:AO83" si="66">AQ$3/AN77</f>
        <v>23.218878600823043</v>
      </c>
      <c r="AP77" s="76">
        <v>323</v>
      </c>
      <c r="AQ77" s="76">
        <f t="shared" si="54"/>
        <v>57133.771875000006</v>
      </c>
      <c r="AR77" s="72">
        <f t="shared" ref="AR77:AR83" si="67">(AQ77-AQ76)/(C77/24)</f>
        <v>881.58913043477958</v>
      </c>
      <c r="AS77" s="161">
        <f t="shared" ref="AS77:AS83" si="68">(AQ77-AQ76)/C77</f>
        <v>36.73288043478248</v>
      </c>
      <c r="AT77" s="72">
        <f t="shared" si="64"/>
        <v>620.80445568250332</v>
      </c>
      <c r="AU77" s="66"/>
      <c r="AV77" s="143">
        <f t="shared" si="61"/>
        <v>470.72497852125809</v>
      </c>
      <c r="AW77" s="433">
        <f t="shared" si="49"/>
        <v>0.62391304347825871</v>
      </c>
      <c r="AX77" s="66"/>
      <c r="AY77" s="66"/>
      <c r="AZ77" s="66"/>
      <c r="BA77" s="66"/>
      <c r="BB77" s="66"/>
      <c r="BC77" s="63"/>
      <c r="BD77" s="64"/>
      <c r="BE77" s="147"/>
      <c r="BF77" s="86"/>
      <c r="BG77" s="65"/>
      <c r="BH77" s="66"/>
      <c r="BI77" s="66"/>
      <c r="BJ77" s="66"/>
      <c r="BK77" s="66"/>
      <c r="BL77" s="86"/>
      <c r="BM77" s="86"/>
      <c r="BN77" s="63"/>
      <c r="BO77" s="87"/>
      <c r="BP77" s="87"/>
      <c r="BQ77" s="87"/>
      <c r="BR77" s="66"/>
      <c r="BS77" s="64"/>
      <c r="BT77" s="66"/>
      <c r="BU77" s="67"/>
      <c r="BV77" s="72"/>
      <c r="BW77" s="72"/>
      <c r="BX77" s="72">
        <v>345</v>
      </c>
      <c r="BY77" s="443">
        <f t="shared" ref="BY77:BY83" si="69">(BX77-BX76)*CB$1/((C77)/24)</f>
        <v>31.304347826086957</v>
      </c>
      <c r="BZ77" s="443">
        <f t="shared" ref="BZ77:BZ83" si="70">CB$3/BY77</f>
        <v>23.830555555555556</v>
      </c>
      <c r="CA77" s="72">
        <v>159</v>
      </c>
      <c r="CB77" s="72">
        <f t="shared" si="35"/>
        <v>29085.721874999999</v>
      </c>
      <c r="CC77" s="289">
        <f t="shared" ref="CC77:CC83" si="71">(CB77-CB76)/((C77/24))</f>
        <v>447.96195652173913</v>
      </c>
      <c r="CD77" s="289">
        <f t="shared" ref="CD77:CD83" si="72">(CB77-CB76)/(C77)</f>
        <v>18.665081521739129</v>
      </c>
      <c r="CE77" s="72">
        <f t="shared" si="62"/>
        <v>613.23366963759679</v>
      </c>
      <c r="CF77" s="72"/>
      <c r="CG77" s="72">
        <f t="shared" si="63"/>
        <v>467.64365468409585</v>
      </c>
      <c r="CH77" s="433">
        <f t="shared" si="15"/>
        <v>0.600485196409838</v>
      </c>
      <c r="CI77" s="72"/>
      <c r="CJ77" s="72"/>
      <c r="CK77" s="72"/>
      <c r="CL77" s="72"/>
      <c r="CM77" s="72"/>
      <c r="CN77" s="110"/>
    </row>
    <row r="78" spans="1:92" s="337" customFormat="1">
      <c r="A78" s="309">
        <f t="shared" si="24"/>
        <v>41233</v>
      </c>
      <c r="B78" s="307">
        <f>B76</f>
        <v>0.33333333333333331</v>
      </c>
      <c r="C78" s="304">
        <f t="shared" si="5"/>
        <v>24.999999999999996</v>
      </c>
      <c r="D78" s="467">
        <v>3.2</v>
      </c>
      <c r="E78" s="319">
        <v>75.599999999999994</v>
      </c>
      <c r="F78" s="441">
        <v>51700</v>
      </c>
      <c r="G78" s="365">
        <v>5.9</v>
      </c>
      <c r="H78" s="319"/>
      <c r="I78" s="348">
        <v>2752</v>
      </c>
      <c r="J78" s="317"/>
      <c r="K78" s="317"/>
      <c r="L78" s="320"/>
      <c r="M78" s="317">
        <v>75</v>
      </c>
      <c r="N78" s="319">
        <v>75</v>
      </c>
      <c r="O78" s="414">
        <f>(N77-M78)*N$4/(C78-6.5)</f>
        <v>2.7156756756756764</v>
      </c>
      <c r="P78" s="465"/>
      <c r="Q78" s="465"/>
      <c r="R78" s="465"/>
      <c r="S78" s="317">
        <v>30</v>
      </c>
      <c r="T78" s="317">
        <v>30</v>
      </c>
      <c r="U78" s="317"/>
      <c r="V78" s="467">
        <v>2.2000000000000002</v>
      </c>
      <c r="W78" s="452">
        <v>65</v>
      </c>
      <c r="X78" s="348">
        <v>26100</v>
      </c>
      <c r="Y78" s="319"/>
      <c r="Z78" s="348">
        <v>1244</v>
      </c>
      <c r="AA78" s="317"/>
      <c r="AB78" s="317"/>
      <c r="AC78" s="320"/>
      <c r="AD78" s="391">
        <f>D71*(100-E71)/(100-W78)</f>
        <v>2.1485714285714286</v>
      </c>
      <c r="AE78" s="387">
        <f>D71-V78</f>
        <v>1</v>
      </c>
      <c r="AF78" s="393">
        <f>100*(AVERAGE(D71,D70,D63,D67,D57,D56,D51)-V78)/AVERAGE(D71,D70,D63,D67,D57,D56,D51)</f>
        <v>25.3152279340446</v>
      </c>
      <c r="AG78" s="393">
        <f>100*(1-((100-AVERAGE(E71,E70,E63,E67,E57,E56,E51))/(100-W78)))</f>
        <v>30.979591836734734</v>
      </c>
      <c r="AH78" s="387">
        <f>E71-W78</f>
        <v>11.5</v>
      </c>
      <c r="AI78" s="393">
        <f>100*(1-((V78*W78)/(AVERAGE(D71,D70,D63,D67,D57,D56,D51)*AVERAGE(E71,E70,E63,E67,E57,E56,E51))))</f>
        <v>35.992519702373905</v>
      </c>
      <c r="AJ78" s="389">
        <f>100*100*((AVERAGE(E71,E70,E63,E67,E57,E56,E51)-W78)/((100-W78)*AVERAGE(E71,E70,E63,E67,E57,E56,E51)))</f>
        <v>40.847079084035244</v>
      </c>
      <c r="AK78" s="318">
        <v>7.17</v>
      </c>
      <c r="AL78" s="365">
        <v>33.799999999999997</v>
      </c>
      <c r="AM78" s="319">
        <v>620</v>
      </c>
      <c r="AN78" s="89">
        <f t="shared" si="65"/>
        <v>60.134400000000007</v>
      </c>
      <c r="AO78" s="89">
        <f t="shared" si="66"/>
        <v>23.497365900383141</v>
      </c>
      <c r="AP78" s="348">
        <v>338</v>
      </c>
      <c r="AQ78" s="348">
        <f t="shared" si="54"/>
        <v>58038.975000000006</v>
      </c>
      <c r="AR78" s="72">
        <f t="shared" si="67"/>
        <v>868.99500000000012</v>
      </c>
      <c r="AS78" s="161">
        <f t="shared" si="68"/>
        <v>36.208125000000003</v>
      </c>
      <c r="AT78" s="72">
        <f t="shared" si="64"/>
        <v>619.27538066850923</v>
      </c>
      <c r="AU78" s="313">
        <f>(AQ78-AQ51)/(AVERAGE(AN51:AN78)*((AVERAGE(D78,D71,D70,D67,D63,D57,D56,D51)*AVERAGE(E78,E71,E70,E67,E63,E57,E56,E51))-(V78*W78))*0.0001*(SUM(C51:C78)/24))</f>
        <v>1644.9202998274018</v>
      </c>
      <c r="AV78" s="348">
        <f t="shared" si="61"/>
        <v>469.56555739189707</v>
      </c>
      <c r="AW78" s="433">
        <f t="shared" si="49"/>
        <v>0.6150000000000001</v>
      </c>
      <c r="AX78" s="319">
        <v>67.599999999999994</v>
      </c>
      <c r="AY78" s="319">
        <v>28.1</v>
      </c>
      <c r="AZ78" s="319">
        <v>0</v>
      </c>
      <c r="BA78" s="319">
        <v>11</v>
      </c>
      <c r="BB78" s="319">
        <v>70</v>
      </c>
      <c r="BC78" s="320"/>
      <c r="BD78" s="368"/>
      <c r="BE78" s="330"/>
      <c r="BF78" s="317"/>
      <c r="BG78" s="467">
        <v>2.2999999999999998</v>
      </c>
      <c r="BH78" s="452">
        <v>64.3</v>
      </c>
      <c r="BI78" s="348">
        <v>26700</v>
      </c>
      <c r="BJ78" s="319"/>
      <c r="BK78" s="348">
        <v>2132</v>
      </c>
      <c r="BL78" s="317"/>
      <c r="BM78" s="317"/>
      <c r="BN78" s="320"/>
      <c r="BO78" s="391">
        <f>D71*(100-E71)/(100-BH78)</f>
        <v>2.1064425770308124</v>
      </c>
      <c r="BP78" s="387">
        <f>D71-BG78</f>
        <v>0.90000000000000036</v>
      </c>
      <c r="BQ78" s="392">
        <f>100*(AVERAGE(D70,D67,D63,D71,D56,D51,D57)-BG78)/AVERAGE(D70,D67,D63,D71,D56,D51,D57)</f>
        <v>21.920465567410286</v>
      </c>
      <c r="BR78" s="393">
        <f>100*(1-((100-AVERAGE(E71,E70,E63,E56,E67,E51,E57))/(100-BH78)))</f>
        <v>32.332933173269311</v>
      </c>
      <c r="BS78" s="387">
        <f>E71-BH78</f>
        <v>12.200000000000003</v>
      </c>
      <c r="BT78" s="392">
        <f>100*(1-((BG78*BH78)/(AVERAGE(D67,D70,D63,D71,D51,D56,D57)*AVERAGE(E67,E71,E63,E70,E51,E56,E57))))</f>
        <v>33.803732439049469</v>
      </c>
      <c r="BU78" s="389">
        <f>100*100*((AVERAGE(E67,E70,E63,E71,E56,E51,E57)-BH78)/((100-BH78)*AVERAGE(E67,E70,E63,E71,E56,E51,E57)))</f>
        <v>42.631480921620863</v>
      </c>
      <c r="BV78" s="312">
        <v>7.36</v>
      </c>
      <c r="BW78" s="365">
        <v>48.6</v>
      </c>
      <c r="BX78" s="313">
        <v>362</v>
      </c>
      <c r="BY78" s="443">
        <f t="shared" si="69"/>
        <v>32.640000000000008</v>
      </c>
      <c r="BZ78" s="443">
        <f t="shared" si="70"/>
        <v>22.855392156862738</v>
      </c>
      <c r="CA78" s="313">
        <v>166</v>
      </c>
      <c r="CB78" s="313">
        <f t="shared" si="35"/>
        <v>29515.018749999999</v>
      </c>
      <c r="CC78" s="289">
        <f t="shared" si="71"/>
        <v>412.12500000000006</v>
      </c>
      <c r="CD78" s="289">
        <f t="shared" si="72"/>
        <v>17.171875000000004</v>
      </c>
      <c r="CE78" s="313">
        <f t="shared" si="62"/>
        <v>541.08853203317369</v>
      </c>
      <c r="CF78" s="313">
        <f>(CB78-CB51)/(AVERAGE(BY51:BY78)*((AVERAGE(D63,D78,D71,D70,D57,D56,D67,D51)*AVERAGE(E63,E78,E71,E70,E67,E57,E57,E51))-(BG78*BH78))*0.0001*(SUM(C51:C78)/24))</f>
        <v>1658.5163085173917</v>
      </c>
      <c r="CG78" s="313">
        <f t="shared" si="63"/>
        <v>412.62675413302566</v>
      </c>
      <c r="CH78" s="433">
        <f t="shared" si="15"/>
        <v>0.55244638069705099</v>
      </c>
      <c r="CI78" s="367">
        <v>65.8</v>
      </c>
      <c r="CJ78" s="367">
        <v>27.8</v>
      </c>
      <c r="CK78" s="313">
        <v>0</v>
      </c>
      <c r="CL78" s="313">
        <v>20</v>
      </c>
      <c r="CM78" s="313">
        <v>155</v>
      </c>
      <c r="CN78" s="442"/>
    </row>
    <row r="79" spans="1:92">
      <c r="A79" s="141">
        <f>A78+1</f>
        <v>41234</v>
      </c>
      <c r="B79" s="307">
        <f>B78</f>
        <v>0.33333333333333331</v>
      </c>
      <c r="C79" s="304">
        <f t="shared" si="5"/>
        <v>24</v>
      </c>
      <c r="D79" s="65"/>
      <c r="E79" s="66"/>
      <c r="F79" s="66"/>
      <c r="G79" s="66"/>
      <c r="H79" s="66"/>
      <c r="I79" s="66"/>
      <c r="J79" s="86"/>
      <c r="K79" s="86"/>
      <c r="L79" s="63"/>
      <c r="M79" s="86">
        <v>67</v>
      </c>
      <c r="N79" s="66">
        <v>85</v>
      </c>
      <c r="O79" s="414">
        <f>(N78-M79)*N$4/(C79)</f>
        <v>1.6746666666666667</v>
      </c>
      <c r="P79" s="465"/>
      <c r="Q79" s="465"/>
      <c r="R79" s="465"/>
      <c r="S79" s="86"/>
      <c r="T79" s="86"/>
      <c r="U79" s="86"/>
      <c r="V79" s="65"/>
      <c r="W79" s="66"/>
      <c r="X79" s="66"/>
      <c r="Y79" s="66"/>
      <c r="Z79" s="66"/>
      <c r="AA79" s="86"/>
      <c r="AB79" s="86"/>
      <c r="AC79" s="63"/>
      <c r="AD79" s="87"/>
      <c r="AE79" s="87"/>
      <c r="AF79" s="87"/>
      <c r="AG79" s="66"/>
      <c r="AH79" s="66"/>
      <c r="AI79" s="87"/>
      <c r="AJ79" s="63"/>
      <c r="AK79" s="65"/>
      <c r="AL79" s="66">
        <v>35.6</v>
      </c>
      <c r="AM79" s="66">
        <v>648</v>
      </c>
      <c r="AN79" s="89">
        <f t="shared" si="65"/>
        <v>60.480000000000004</v>
      </c>
      <c r="AO79" s="89">
        <f t="shared" si="66"/>
        <v>23.363095238095237</v>
      </c>
      <c r="AP79" s="76">
        <v>352</v>
      </c>
      <c r="AQ79" s="76">
        <f t="shared" si="54"/>
        <v>58883.831250000003</v>
      </c>
      <c r="AR79" s="72">
        <f t="shared" si="67"/>
        <v>844.85624999999709</v>
      </c>
      <c r="AS79" s="161">
        <f t="shared" si="68"/>
        <v>35.202343749999876</v>
      </c>
      <c r="AT79" s="72">
        <f>AR79/(AN79*(AVERAGE(D$70,D$71,D$63,D$50,D$51,D$56,D$57,D$67,D78))*AVERAGE(E$70,E$71,E$63,E$50,E$51,E$56,E$57,E$67,E78)*0.0001)</f>
        <v>596.19347259711208</v>
      </c>
      <c r="AU79" s="66"/>
      <c r="AV79" s="143">
        <f>AR79/(AN79*AVERAGE(D$70,D$71,D$50,D$51,D$56,D$57,D$63,D$67,D$78)*0.01)</f>
        <v>451.91465222861092</v>
      </c>
      <c r="AW79" s="433">
        <f t="shared" si="49"/>
        <v>0.59791666666666465</v>
      </c>
      <c r="AX79" s="66"/>
      <c r="AY79" s="66"/>
      <c r="AZ79" s="66"/>
      <c r="BA79" s="66"/>
      <c r="BB79" s="66"/>
      <c r="BC79" s="63"/>
      <c r="BD79" s="64"/>
      <c r="BE79" s="147"/>
      <c r="BF79" s="86"/>
      <c r="BG79" s="65"/>
      <c r="BH79" s="66"/>
      <c r="BI79" s="66"/>
      <c r="BJ79" s="66"/>
      <c r="BK79" s="66"/>
      <c r="BL79" s="86"/>
      <c r="BM79" s="86"/>
      <c r="BN79" s="63"/>
      <c r="BO79" s="87"/>
      <c r="BP79" s="87"/>
      <c r="BQ79" s="87"/>
      <c r="BR79" s="66"/>
      <c r="BS79" s="64"/>
      <c r="BT79" s="66"/>
      <c r="BU79" s="67"/>
      <c r="BV79" s="72"/>
      <c r="BW79" s="72">
        <v>51</v>
      </c>
      <c r="BX79" s="72">
        <v>378</v>
      </c>
      <c r="BY79" s="443">
        <f t="shared" si="69"/>
        <v>32</v>
      </c>
      <c r="BZ79" s="443">
        <f t="shared" si="70"/>
        <v>23.3125</v>
      </c>
      <c r="CA79" s="72">
        <v>173</v>
      </c>
      <c r="CB79" s="72">
        <f>((CA79-CA$55)*CB$2)+CB$55</f>
        <v>29944.315624999999</v>
      </c>
      <c r="CC79" s="289">
        <f t="shared" si="71"/>
        <v>429.296875</v>
      </c>
      <c r="CD79" s="289">
        <f t="shared" si="72"/>
        <v>17.887369791666668</v>
      </c>
      <c r="CE79" s="72">
        <f>CC79/(BY79*(AVERAGE(D$70,D$71,D$50,D$51,D$56,D$57,D$63,D$67,D$78))*AVERAGE(E$70,E$71,E$50,E$51,E$56,E$57,E$63,E$67,E$78)*0.0001)</f>
        <v>572.56385325637484</v>
      </c>
      <c r="CF79" s="72"/>
      <c r="CG79" s="72">
        <f>CC79/(BY79*AVERAGE(D$70,D$50,D$51,D$56,D$57,D$63,D$67,D$78)*0.01)</f>
        <v>435.92290312753858</v>
      </c>
      <c r="CH79" s="433">
        <f t="shared" si="15"/>
        <v>0.57546497989276135</v>
      </c>
      <c r="CI79" s="72"/>
      <c r="CJ79" s="72"/>
      <c r="CK79" s="72"/>
      <c r="CL79" s="72"/>
      <c r="CM79" s="72"/>
      <c r="CN79" s="110"/>
    </row>
    <row r="80" spans="1:92">
      <c r="A80" s="141">
        <f>A79+1</f>
        <v>41235</v>
      </c>
      <c r="B80" s="307">
        <f>B78</f>
        <v>0.33333333333333331</v>
      </c>
      <c r="C80" s="304">
        <f t="shared" si="5"/>
        <v>24</v>
      </c>
      <c r="D80" s="65"/>
      <c r="E80" s="66"/>
      <c r="F80" s="66"/>
      <c r="G80" s="66"/>
      <c r="H80" s="66"/>
      <c r="I80" s="66"/>
      <c r="J80" s="86"/>
      <c r="K80" s="86"/>
      <c r="L80" s="63"/>
      <c r="M80" s="86">
        <v>62</v>
      </c>
      <c r="N80" s="66">
        <v>62</v>
      </c>
      <c r="O80" s="414">
        <f>(N79-M80)*N$4/(C80+12)</f>
        <v>3.2097777777777781</v>
      </c>
      <c r="P80" s="465"/>
      <c r="Q80" s="465"/>
      <c r="R80" s="465"/>
      <c r="S80" s="86"/>
      <c r="T80" s="86"/>
      <c r="U80" s="86"/>
      <c r="V80" s="65"/>
      <c r="W80" s="66"/>
      <c r="X80" s="66"/>
      <c r="Y80" s="66"/>
      <c r="Z80" s="66"/>
      <c r="AA80" s="86"/>
      <c r="AB80" s="86"/>
      <c r="AC80" s="63"/>
      <c r="AD80" s="87"/>
      <c r="AE80" s="87"/>
      <c r="AF80" s="87"/>
      <c r="AG80" s="66"/>
      <c r="AH80" s="66"/>
      <c r="AI80" s="87"/>
      <c r="AJ80" s="63"/>
      <c r="AK80" s="65"/>
      <c r="AL80" s="66">
        <v>35.6</v>
      </c>
      <c r="AM80" s="66">
        <v>676</v>
      </c>
      <c r="AN80" s="89">
        <f t="shared" si="65"/>
        <v>60.480000000000004</v>
      </c>
      <c r="AO80" s="89">
        <f t="shared" si="66"/>
        <v>23.363095238095237</v>
      </c>
      <c r="AP80" s="76">
        <v>367</v>
      </c>
      <c r="AQ80" s="76">
        <f t="shared" si="54"/>
        <v>59789.034375000003</v>
      </c>
      <c r="AR80" s="72">
        <f t="shared" si="67"/>
        <v>905.203125</v>
      </c>
      <c r="AS80" s="161">
        <f t="shared" si="68"/>
        <v>37.716796875</v>
      </c>
      <c r="AT80" s="72">
        <f>AR80/(AN80*(AVERAGE(D$70,D$71,D$63,D$50,D$51,D$56,D$57,D$67,D79))*AVERAGE(E$70,E$71,E$63,E$50,E$51,E$56,E$57,E$67,E79)*0.0001)</f>
        <v>641.39235854952733</v>
      </c>
      <c r="AU80" s="66"/>
      <c r="AV80" s="143">
        <f>AR80/(AN80*AVERAGE(D$70,D$71,D$50,D$51,D$56,D$57,D$63,D$67,D$78)*0.01)</f>
        <v>484.19427024494195</v>
      </c>
      <c r="AW80" s="433">
        <f t="shared" si="49"/>
        <v>0.640625</v>
      </c>
      <c r="AX80" s="66"/>
      <c r="AY80" s="66"/>
      <c r="AZ80" s="66"/>
      <c r="BA80" s="66"/>
      <c r="BB80" s="66"/>
      <c r="BC80" s="63"/>
      <c r="BD80" s="64"/>
      <c r="BE80" s="147"/>
      <c r="BF80" s="86"/>
      <c r="BG80" s="65"/>
      <c r="BH80" s="66"/>
      <c r="BI80" s="66"/>
      <c r="BJ80" s="66"/>
      <c r="BK80" s="66"/>
      <c r="BL80" s="86"/>
      <c r="BM80" s="86"/>
      <c r="BN80" s="63"/>
      <c r="BO80" s="87"/>
      <c r="BP80" s="87"/>
      <c r="BQ80" s="87"/>
      <c r="BR80" s="66"/>
      <c r="BS80" s="64"/>
      <c r="BT80" s="66"/>
      <c r="BU80" s="67"/>
      <c r="BV80" s="72"/>
      <c r="BW80" s="72">
        <v>51</v>
      </c>
      <c r="BX80" s="72">
        <v>394</v>
      </c>
      <c r="BY80" s="443">
        <f t="shared" si="69"/>
        <v>32</v>
      </c>
      <c r="BZ80" s="443">
        <f t="shared" si="70"/>
        <v>23.3125</v>
      </c>
      <c r="CA80" s="72">
        <v>180</v>
      </c>
      <c r="CB80" s="72">
        <f>((CA80-CA$55)*CB$2)+CB$55</f>
        <v>30373.612499999999</v>
      </c>
      <c r="CC80" s="289">
        <f t="shared" si="71"/>
        <v>429.296875</v>
      </c>
      <c r="CD80" s="289">
        <f t="shared" si="72"/>
        <v>17.887369791666668</v>
      </c>
      <c r="CE80" s="72">
        <f>CC80/(BY80*(AVERAGE(D$70,D$71,D$50,D$51,D$56,D$57,D$63,D$67,D$78))*AVERAGE(E$70,E$71,E$50,E$51,E$56,E$57,E$63,E$67,E$78)*0.0001)</f>
        <v>572.56385325637484</v>
      </c>
      <c r="CF80" s="72"/>
      <c r="CG80" s="72">
        <f>CC80/(BY80*AVERAGE(D$70,D$50,D$51,D$56,D$57,D$63,D$67,D$78)*0.01)</f>
        <v>435.92290312753858</v>
      </c>
      <c r="CH80" s="433">
        <f t="shared" si="15"/>
        <v>0.57546497989276135</v>
      </c>
      <c r="CI80" s="72"/>
      <c r="CJ80" s="72"/>
      <c r="CK80" s="72"/>
      <c r="CL80" s="72"/>
      <c r="CM80" s="72"/>
      <c r="CN80" s="110"/>
    </row>
    <row r="81" spans="1:93" s="337" customFormat="1" ht="57" customHeight="1">
      <c r="A81" s="309">
        <f>A80+1</f>
        <v>41236</v>
      </c>
      <c r="B81" s="310">
        <f>B79</f>
        <v>0.33333333333333331</v>
      </c>
      <c r="C81" s="311">
        <f t="shared" si="5"/>
        <v>24</v>
      </c>
      <c r="D81" s="339">
        <v>3.18</v>
      </c>
      <c r="E81" s="365">
        <v>77.2</v>
      </c>
      <c r="F81" s="319"/>
      <c r="G81" s="365">
        <v>5.9</v>
      </c>
      <c r="H81" s="319"/>
      <c r="I81" s="319"/>
      <c r="J81" s="317"/>
      <c r="K81" s="317"/>
      <c r="L81" s="320"/>
      <c r="M81" s="317">
        <v>51</v>
      </c>
      <c r="N81" s="319">
        <v>85</v>
      </c>
      <c r="O81" s="414">
        <f>(N80-M81)*N$4/(C81-12)</f>
        <v>4.6053333333333333</v>
      </c>
      <c r="P81" s="465"/>
      <c r="Q81" s="465"/>
      <c r="R81" s="465"/>
      <c r="S81" s="317"/>
      <c r="T81" s="317"/>
      <c r="U81" s="317"/>
      <c r="V81" s="339">
        <v>1.91</v>
      </c>
      <c r="W81" s="365">
        <v>64.88</v>
      </c>
      <c r="X81" s="319"/>
      <c r="Y81" s="319"/>
      <c r="Z81" s="319"/>
      <c r="AA81" s="317"/>
      <c r="AB81" s="317"/>
      <c r="AC81" s="320"/>
      <c r="AD81" s="391">
        <f>D78*(100-E78)/(100-W81)</f>
        <v>2.2232346241457863</v>
      </c>
      <c r="AE81" s="387">
        <f>D78-V81</f>
        <v>1.2900000000000003</v>
      </c>
      <c r="AF81" s="393">
        <f>100*(AVERAGE(D78,D71,D67,D70,D63,D57)-V81)/AVERAGE(D78,D71,D67,D70,D63,D57)</f>
        <v>36.720044174489246</v>
      </c>
      <c r="AG81" s="393">
        <f>100*(1-((100-AVERAGE(E78,E71,E67,E70,E63,E57))/(100-W81)))</f>
        <v>31.017463933181467</v>
      </c>
      <c r="AH81" s="387">
        <f>E78-W81</f>
        <v>10.719999999999999</v>
      </c>
      <c r="AI81" s="393">
        <f>100*(1-((V81*W81)/(AVERAGE(D78,D71,D67,D70,D63,D57)*AVERAGE(E78,E71,E67,E70,E63,E57))))</f>
        <v>45.817303352642035</v>
      </c>
      <c r="AJ81" s="389">
        <f>100*100*((AVERAGE(E78,E71,E67,E70,E63,E57,E56)-W81)/((100-W81)*AVERAGE(E78,E71,E67,E70,E63,E57,E56)))</f>
        <v>39.954629047490705</v>
      </c>
      <c r="AK81" s="318">
        <v>7.22</v>
      </c>
      <c r="AL81" s="365">
        <v>34.700000000000003</v>
      </c>
      <c r="AM81" s="319">
        <v>704</v>
      </c>
      <c r="AN81" s="327">
        <f t="shared" si="65"/>
        <v>60.480000000000004</v>
      </c>
      <c r="AO81" s="327">
        <f t="shared" si="66"/>
        <v>23.363095238095237</v>
      </c>
      <c r="AP81" s="348">
        <v>382</v>
      </c>
      <c r="AQ81" s="348">
        <f t="shared" si="54"/>
        <v>60694.237500000003</v>
      </c>
      <c r="AR81" s="313">
        <f t="shared" si="67"/>
        <v>905.203125</v>
      </c>
      <c r="AS81" s="463">
        <f t="shared" si="68"/>
        <v>37.716796875</v>
      </c>
      <c r="AT81" s="313">
        <f>AR81/(AN81*(AVERAGE(D$70,D$71,D$63,D$50,D$51,D$56,D$57,D$67,D80))*AVERAGE(E$70,E$71,E$63,E$50,E$51,E$56,E$57,E$67,E80)*0.0001)</f>
        <v>641.39235854952733</v>
      </c>
      <c r="AU81" s="313">
        <f>(AQ81-AQ54)/(AVERAGE(AN54:AN81)*((AVERAGE(D81,D78,D71,D70,D67,D63,D56,D57)*AVERAGE(E81,E78,E71,E70,E67,E63,E56,E57))-(V81*W81))*0.0001*(SUM(C54:C81)/24))</f>
        <v>1388.5884392563305</v>
      </c>
      <c r="AV81" s="313">
        <f>AR81/(AN81*AVERAGE(D$70,D$71,D$50,D$51,D$56,D$57,D$63,D$67,D$78)*0.01)</f>
        <v>484.19427024494195</v>
      </c>
      <c r="AW81" s="433">
        <f t="shared" si="49"/>
        <v>0.640625</v>
      </c>
      <c r="AX81" s="319">
        <v>68.5</v>
      </c>
      <c r="AY81" s="319">
        <v>29.4</v>
      </c>
      <c r="AZ81" s="319">
        <v>0</v>
      </c>
      <c r="BA81" s="319">
        <v>16</v>
      </c>
      <c r="BB81" s="319">
        <v>75</v>
      </c>
      <c r="BC81" s="320"/>
      <c r="BD81" s="368"/>
      <c r="BE81" s="330"/>
      <c r="BF81" s="317"/>
      <c r="BG81" s="339">
        <v>2.2200000000000002</v>
      </c>
      <c r="BH81" s="365">
        <v>61.28</v>
      </c>
      <c r="BI81" s="319"/>
      <c r="BJ81" s="319"/>
      <c r="BK81" s="319"/>
      <c r="BL81" s="317"/>
      <c r="BM81" s="317"/>
      <c r="BN81" s="320"/>
      <c r="BO81" s="391">
        <f>D78*(100-E78)/(100-BH81)</f>
        <v>2.0165289256198355</v>
      </c>
      <c r="BP81" s="387">
        <f>D78-BG81</f>
        <v>0.98</v>
      </c>
      <c r="BQ81" s="392">
        <f>100*(AVERAGE(D78,D71,D70,D67,D63,D57)-BG81)/AVERAGE(D78,D71,D70,D67,D63,D57)</f>
        <v>26.449475427940371</v>
      </c>
      <c r="BR81" s="393">
        <f>100*(1-((100-AVERAGE(E78,E71,E70,E67,E63,E57))/(100-BH81)))</f>
        <v>37.431129476584033</v>
      </c>
      <c r="BS81" s="387">
        <f>E78-BH81</f>
        <v>14.319999999999993</v>
      </c>
      <c r="BT81" s="392">
        <f>100*(1-((BG81*BH81)/(AVERAGE(D78,D71,D70,D67,D63,D57)*AVERAGE(E78,E71,E70,E67,E63,E57))))</f>
        <v>40.517647205140591</v>
      </c>
      <c r="BU81" s="389">
        <f>100*100*((AVERAGE(E78,E71,E70,E67,E63,E57)-BH81)/((100-BH81)*AVERAGE(E78,E71,E70,E67,E63,E57)))</f>
        <v>49.398815955372207</v>
      </c>
      <c r="BV81" s="312">
        <v>7.39</v>
      </c>
      <c r="BW81" s="470">
        <v>48.3</v>
      </c>
      <c r="BX81" s="313">
        <v>410</v>
      </c>
      <c r="BY81" s="462">
        <f t="shared" si="69"/>
        <v>32</v>
      </c>
      <c r="BZ81" s="462">
        <f t="shared" si="70"/>
        <v>23.3125</v>
      </c>
      <c r="CA81" s="313">
        <v>188</v>
      </c>
      <c r="CB81" s="313">
        <f>((CA81-CA$55)*CB$2)+CB$55</f>
        <v>30864.237499999999</v>
      </c>
      <c r="CC81" s="334">
        <f t="shared" si="71"/>
        <v>490.625</v>
      </c>
      <c r="CD81" s="334">
        <f t="shared" si="72"/>
        <v>20.442708333333332</v>
      </c>
      <c r="CE81" s="313">
        <f>CC81/(BY81*(AVERAGE(D$70,D$71,D$50,D$51,D$56,D$57,D$63,D$67,D$78))*AVERAGE(E$70,E$71,E$50,E$51,E$56,E$57,E$63,E$67,E$78)*0.0001)</f>
        <v>654.35868943585695</v>
      </c>
      <c r="CF81" s="313">
        <f>(CB81-CB56)/(AVERAGE(BY56:BY81)*((AVERAGE(D67,D81,D78,D71,D63,D57,D70,D56)*AVERAGE(E67,E81,E78,E71,E70,E63,E57,E56))-(BG81*BH81))*0.0001*(SUM(C56:C81)/24))</f>
        <v>1559.1077477795573</v>
      </c>
      <c r="CG81" s="313">
        <f>CC81/(BY81*AVERAGE(D$70,D$50,D$51,D$56,D$57,D$63,D$67,D$78)*0.01)</f>
        <v>498.19760357432983</v>
      </c>
      <c r="CH81" s="433">
        <f t="shared" si="15"/>
        <v>0.6576742627345844</v>
      </c>
      <c r="CI81" s="367">
        <v>65.7</v>
      </c>
      <c r="CJ81" s="367">
        <v>28.4</v>
      </c>
      <c r="CK81" s="313">
        <v>0</v>
      </c>
      <c r="CL81" s="313">
        <v>35</v>
      </c>
      <c r="CM81" s="313">
        <v>135</v>
      </c>
      <c r="CN81" s="468" t="s">
        <v>113</v>
      </c>
      <c r="CO81" s="469" t="s">
        <v>114</v>
      </c>
    </row>
    <row r="82" spans="1:93">
      <c r="A82" s="141">
        <f>A81+1</f>
        <v>41237</v>
      </c>
      <c r="B82" s="307">
        <f>B80</f>
        <v>0.33333333333333331</v>
      </c>
      <c r="C82" s="304">
        <f t="shared" si="5"/>
        <v>24</v>
      </c>
      <c r="D82" s="65"/>
      <c r="E82" s="66"/>
      <c r="F82" s="66"/>
      <c r="G82" s="66"/>
      <c r="H82" s="66"/>
      <c r="I82" s="66"/>
      <c r="J82" s="86"/>
      <c r="K82" s="86"/>
      <c r="L82" s="63"/>
      <c r="M82" s="86"/>
      <c r="N82" s="66"/>
      <c r="O82" s="261"/>
      <c r="P82" s="465"/>
      <c r="Q82" s="465"/>
      <c r="R82" s="465"/>
      <c r="S82" s="86"/>
      <c r="T82" s="86"/>
      <c r="U82" s="86"/>
      <c r="V82" s="65"/>
      <c r="W82" s="66"/>
      <c r="X82" s="66"/>
      <c r="Y82" s="66"/>
      <c r="Z82" s="66"/>
      <c r="AA82" s="86"/>
      <c r="AB82" s="86"/>
      <c r="AC82" s="63"/>
      <c r="AD82" s="87"/>
      <c r="AE82" s="87"/>
      <c r="AF82" s="87"/>
      <c r="AG82" s="66"/>
      <c r="AH82" s="66"/>
      <c r="AI82" s="87"/>
      <c r="AJ82" s="63"/>
      <c r="AK82" s="65"/>
      <c r="AL82" s="66">
        <v>35.700000000000003</v>
      </c>
      <c r="AM82" s="66">
        <v>732</v>
      </c>
      <c r="AN82" s="89">
        <f t="shared" si="65"/>
        <v>60.480000000000004</v>
      </c>
      <c r="AO82" s="89">
        <f t="shared" si="66"/>
        <v>23.363095238095237</v>
      </c>
      <c r="AP82" s="76">
        <v>397</v>
      </c>
      <c r="AQ82" s="76">
        <f t="shared" si="54"/>
        <v>61599.440625000003</v>
      </c>
      <c r="AR82" s="72">
        <f t="shared" si="67"/>
        <v>905.203125</v>
      </c>
      <c r="AS82" s="161">
        <f t="shared" si="68"/>
        <v>37.716796875</v>
      </c>
      <c r="AT82" s="72">
        <f>AR82/(AN82*(AVERAGE(D$70,D$71,D$63,D$50,D$51,D$56,D$57,D$67,D$78,D$81))*AVERAGE(E$70,E$71,E$63,E$50,E$51,E$56,E$57,E$67,E$78,E$81)*0.0001)</f>
        <v>635.77284642819711</v>
      </c>
      <c r="AU82" s="66"/>
      <c r="AV82" s="143">
        <f>AR82/(AN82*AVERAGE(D$70,D$71,D$50,D$51,D$56,D$57,D$63,D$67,D$78,D$81)*0.01)</f>
        <v>482.80589957757286</v>
      </c>
      <c r="AW82" s="433">
        <f t="shared" si="49"/>
        <v>0.640625</v>
      </c>
      <c r="AX82" s="66"/>
      <c r="AY82" s="66"/>
      <c r="AZ82" s="66"/>
      <c r="BA82" s="66"/>
      <c r="BB82" s="66"/>
      <c r="BC82" s="63"/>
      <c r="BD82" s="64"/>
      <c r="BE82" s="147"/>
      <c r="BF82" s="86"/>
      <c r="BG82" s="65"/>
      <c r="BH82" s="66"/>
      <c r="BI82" s="66"/>
      <c r="BJ82" s="66"/>
      <c r="BK82" s="66"/>
      <c r="BL82" s="86"/>
      <c r="BM82" s="86"/>
      <c r="BN82" s="63"/>
      <c r="BO82" s="87"/>
      <c r="BP82" s="87"/>
      <c r="BQ82" s="87"/>
      <c r="BR82" s="66"/>
      <c r="BS82" s="64"/>
      <c r="BT82" s="66"/>
      <c r="BU82" s="67"/>
      <c r="BV82" s="72"/>
      <c r="BW82" s="72">
        <v>51.1</v>
      </c>
      <c r="BX82" s="72">
        <v>426</v>
      </c>
      <c r="BY82" s="443">
        <f t="shared" si="69"/>
        <v>32</v>
      </c>
      <c r="BZ82" s="443">
        <f t="shared" si="70"/>
        <v>23.3125</v>
      </c>
      <c r="CA82" s="72">
        <v>196</v>
      </c>
      <c r="CB82" s="301">
        <f>((CA82-CA$55)*CB$2)+CB$55</f>
        <v>31354.862499999999</v>
      </c>
      <c r="CC82" s="289">
        <f t="shared" si="71"/>
        <v>490.625</v>
      </c>
      <c r="CD82" s="289">
        <f t="shared" si="72"/>
        <v>20.442708333333332</v>
      </c>
      <c r="CE82" s="72">
        <f>CC82/(BY82*(AVERAGE(D$70,D$71,D$51,D$56,D$57,D$63,D$67,D$78,D$81))*AVERAGE(E$70,E$71,E$51,E$56,E$57,E$63,E$67,E$78,E$81)*0.0001)</f>
        <v>672.75257788503723</v>
      </c>
      <c r="CF82" s="72"/>
      <c r="CG82" s="72">
        <f>CC82/(BY82*AVERAGE(D$70,D$51,D$56,D$57,D$63,D$67,D$78,D$81)*0.01)</f>
        <v>515.36239495798316</v>
      </c>
      <c r="CH82" s="433">
        <f t="shared" si="15"/>
        <v>0.6576742627345844</v>
      </c>
      <c r="CI82" s="72"/>
      <c r="CJ82" s="72"/>
      <c r="CK82" s="72"/>
      <c r="CL82" s="72"/>
      <c r="CM82" s="72"/>
      <c r="CN82" s="110"/>
    </row>
    <row r="83" spans="1:93" s="69" customFormat="1">
      <c r="A83" s="141">
        <f t="shared" ref="A83:A146" si="73">A82+1</f>
        <v>41238</v>
      </c>
      <c r="B83" s="307">
        <v>0.33333333333333331</v>
      </c>
      <c r="C83" s="304">
        <f t="shared" si="5"/>
        <v>24</v>
      </c>
      <c r="D83" s="65"/>
      <c r="E83" s="66"/>
      <c r="F83" s="183"/>
      <c r="G83" s="66"/>
      <c r="H83" s="66"/>
      <c r="I83" s="76"/>
      <c r="J83" s="256"/>
      <c r="K83" s="256"/>
      <c r="L83" s="63"/>
      <c r="M83" s="86"/>
      <c r="N83" s="66"/>
      <c r="O83" s="261"/>
      <c r="P83" s="465"/>
      <c r="Q83" s="465"/>
      <c r="R83" s="465"/>
      <c r="S83" s="86"/>
      <c r="T83" s="86"/>
      <c r="U83" s="86"/>
      <c r="V83" s="65"/>
      <c r="W83" s="66"/>
      <c r="X83" s="76"/>
      <c r="Y83" s="66"/>
      <c r="Z83" s="76"/>
      <c r="AA83" s="76"/>
      <c r="AB83" s="76"/>
      <c r="AC83" s="63"/>
      <c r="AD83" s="87"/>
      <c r="AE83" s="83"/>
      <c r="AF83" s="88"/>
      <c r="AG83" s="85"/>
      <c r="AH83" s="75"/>
      <c r="AI83" s="83"/>
      <c r="AJ83" s="195"/>
      <c r="AK83" s="65"/>
      <c r="AL83" s="66">
        <v>35.700000000000003</v>
      </c>
      <c r="AM83" s="66">
        <v>760</v>
      </c>
      <c r="AN83" s="89">
        <f t="shared" si="65"/>
        <v>60.480000000000004</v>
      </c>
      <c r="AO83" s="89">
        <f t="shared" si="66"/>
        <v>23.363095238095237</v>
      </c>
      <c r="AP83" s="76">
        <v>411</v>
      </c>
      <c r="AQ83" s="76">
        <f t="shared" si="54"/>
        <v>62444.296875000007</v>
      </c>
      <c r="AR83" s="72">
        <f t="shared" si="67"/>
        <v>844.85625000000437</v>
      </c>
      <c r="AS83" s="161">
        <f t="shared" si="68"/>
        <v>35.202343750000182</v>
      </c>
      <c r="AT83" s="72">
        <f>AR83/(AN83*(AVERAGE(D$70,D$71,D$63,D$50,D$51,D$56,D$57,D$67,D$78,D$81))*AVERAGE(E$70,E$71,E$63,E$50,E$51,E$56,E$57,E$67,E$78,E$81)*0.0001)</f>
        <v>593.38798999965366</v>
      </c>
      <c r="AU83" s="85"/>
      <c r="AV83" s="143">
        <f>AR83/(AN83*AVERAGE(D$70,D$71,D$50,D$51,D$56,D$57,D$63,D$67,D$78,D$81)*0.01)</f>
        <v>450.61883960573704</v>
      </c>
      <c r="AW83" s="433">
        <f t="shared" si="49"/>
        <v>0.59791666666666976</v>
      </c>
      <c r="AX83" s="66"/>
      <c r="AY83" s="66"/>
      <c r="AZ83" s="66"/>
      <c r="BA83" s="66"/>
      <c r="BB83" s="66"/>
      <c r="BC83" s="63"/>
      <c r="BD83" s="64"/>
      <c r="BE83" s="147"/>
      <c r="BF83" s="86"/>
      <c r="BG83" s="65"/>
      <c r="BH83" s="66"/>
      <c r="BI83" s="76"/>
      <c r="BJ83" s="66"/>
      <c r="BK83" s="76"/>
      <c r="BL83" s="256"/>
      <c r="BM83" s="256"/>
      <c r="BN83" s="63"/>
      <c r="BO83" s="93"/>
      <c r="BP83" s="83"/>
      <c r="BQ83" s="88"/>
      <c r="BR83" s="85"/>
      <c r="BS83" s="194"/>
      <c r="BT83" s="75"/>
      <c r="BU83" s="179"/>
      <c r="BV83" s="65"/>
      <c r="BW83" s="66">
        <v>51.1</v>
      </c>
      <c r="BX83" s="66">
        <v>442</v>
      </c>
      <c r="BY83" s="443">
        <f t="shared" si="69"/>
        <v>32</v>
      </c>
      <c r="BZ83" s="443">
        <f t="shared" si="70"/>
        <v>23.3125</v>
      </c>
      <c r="CA83" s="72">
        <v>203</v>
      </c>
      <c r="CB83" s="301">
        <f>((CA83-CA$55)*CB$2)+CB$55</f>
        <v>31784.159374999999</v>
      </c>
      <c r="CC83" s="289">
        <f t="shared" si="71"/>
        <v>429.296875</v>
      </c>
      <c r="CD83" s="289">
        <f t="shared" si="72"/>
        <v>17.887369791666668</v>
      </c>
      <c r="CE83" s="72">
        <f>CC83/(BY83*(AVERAGE(D$70,D$71,D$51,D$56,D$57,D$63,D$67,D$78,D$81))*AVERAGE(E$70,E$71,E$51,E$56,E$57,E$63,E$67,E$78,E$81)*0.0001)</f>
        <v>588.65850564940763</v>
      </c>
      <c r="CF83" s="161"/>
      <c r="CG83" s="72">
        <f>CC83/(BY83*AVERAGE(D$70,D$51,D$56,D$57,D$63,D$67,D$78,D$81)*0.01)</f>
        <v>450.94209558823525</v>
      </c>
      <c r="CH83" s="433">
        <f t="shared" si="15"/>
        <v>0.57546497989276135</v>
      </c>
      <c r="CI83" s="66"/>
      <c r="CJ83" s="66"/>
      <c r="CK83" s="66"/>
      <c r="CL83" s="66"/>
      <c r="CM83" s="66"/>
      <c r="CN83" s="111"/>
    </row>
    <row r="84" spans="1:93">
      <c r="A84" s="141">
        <f t="shared" si="73"/>
        <v>41239</v>
      </c>
      <c r="B84" s="307">
        <f>B83</f>
        <v>0.33333333333333331</v>
      </c>
      <c r="C84" s="304">
        <f t="shared" si="5"/>
        <v>24</v>
      </c>
      <c r="D84" s="65"/>
      <c r="E84" s="66"/>
      <c r="F84" s="66"/>
      <c r="G84" s="66"/>
      <c r="H84" s="66"/>
      <c r="I84" s="66"/>
      <c r="J84" s="86"/>
      <c r="K84" s="86"/>
      <c r="L84" s="63"/>
      <c r="M84" s="86"/>
      <c r="N84" s="66"/>
      <c r="O84" s="261"/>
      <c r="P84" s="465"/>
      <c r="Q84" s="465"/>
      <c r="R84" s="465"/>
      <c r="S84" s="86"/>
      <c r="T84" s="86"/>
      <c r="U84" s="86"/>
      <c r="V84" s="65"/>
      <c r="W84" s="66"/>
      <c r="X84" s="66"/>
      <c r="Y84" s="66"/>
      <c r="Z84" s="66"/>
      <c r="AA84" s="86"/>
      <c r="AB84" s="86"/>
      <c r="AC84" s="63"/>
      <c r="AD84" s="87"/>
      <c r="AE84" s="87"/>
      <c r="AF84" s="87"/>
      <c r="AG84" s="66"/>
      <c r="AH84" s="66"/>
      <c r="AI84" s="87"/>
      <c r="AJ84" s="63"/>
      <c r="AK84" s="65"/>
      <c r="AL84" s="66">
        <v>35.700000000000003</v>
      </c>
      <c r="AM84" s="66">
        <v>788</v>
      </c>
      <c r="AN84" s="89">
        <f>(AM84-AM83)*AQ$1/((C84)/24)</f>
        <v>60.480000000000004</v>
      </c>
      <c r="AO84" s="89">
        <f>AQ$3/AN84</f>
        <v>23.363095238095237</v>
      </c>
      <c r="AP84" s="76">
        <v>426</v>
      </c>
      <c r="AQ84" s="76">
        <f t="shared" si="54"/>
        <v>63349.500000000007</v>
      </c>
      <c r="AR84" s="72">
        <f>(AQ84-AQ83)/(C84/24)</f>
        <v>905.203125</v>
      </c>
      <c r="AS84" s="161">
        <f>(AQ84-AQ83)/C84</f>
        <v>37.716796875</v>
      </c>
      <c r="AT84" s="72">
        <f>AR84/(AN84*(AVERAGE(D$70,D$71,D$63,D$50,D$51,D$56,D$57,D$67,D$78,D$81))*AVERAGE(E$70,E$71,E$63,E$50,E$51,E$56,E$57,E$67,E$78,E$81)*0.0001)</f>
        <v>635.77284642819711</v>
      </c>
      <c r="AU84" s="180"/>
      <c r="AV84" s="143">
        <f>AR84/(AN84*AVERAGE(D$70,D$71,D$50,D$51,D$56,D$57,D$63,D$67,D$78,D$81)*0.01)</f>
        <v>482.80589957757286</v>
      </c>
      <c r="AW84" s="433">
        <f t="shared" si="49"/>
        <v>0.640625</v>
      </c>
      <c r="AX84" s="180"/>
      <c r="AY84" s="180"/>
      <c r="AZ84" s="180"/>
      <c r="BA84" s="180"/>
      <c r="BB84" s="180"/>
      <c r="BC84" s="63"/>
      <c r="BD84" s="64"/>
      <c r="BE84" s="147"/>
      <c r="BF84" s="86"/>
      <c r="BG84" s="65"/>
      <c r="BH84" s="66"/>
      <c r="BI84" s="66"/>
      <c r="BJ84" s="66"/>
      <c r="BK84" s="66"/>
      <c r="BL84" s="86"/>
      <c r="BM84" s="86"/>
      <c r="BN84" s="63"/>
      <c r="BO84" s="87"/>
      <c r="BP84" s="87"/>
      <c r="BQ84" s="87"/>
      <c r="BR84" s="66"/>
      <c r="BS84" s="64"/>
      <c r="BT84" s="66"/>
      <c r="BU84" s="67"/>
      <c r="BV84" s="65"/>
      <c r="BW84" s="66">
        <v>51.1</v>
      </c>
      <c r="BX84" s="66">
        <v>447</v>
      </c>
      <c r="BY84" s="144"/>
      <c r="BZ84" s="144"/>
      <c r="CA84" s="72">
        <v>209</v>
      </c>
      <c r="CB84" s="72"/>
      <c r="CC84" s="183"/>
      <c r="CD84" s="162"/>
      <c r="CE84" s="72"/>
      <c r="CF84" s="72"/>
      <c r="CG84" s="72"/>
      <c r="CH84" s="433"/>
      <c r="CI84" s="72"/>
      <c r="CJ84" s="72"/>
      <c r="CK84" s="72"/>
      <c r="CL84" s="72"/>
      <c r="CM84" s="72"/>
      <c r="CN84" s="101"/>
    </row>
    <row r="85" spans="1:93" s="479" customFormat="1">
      <c r="A85" s="475">
        <f t="shared" si="73"/>
        <v>41240</v>
      </c>
      <c r="B85" s="416">
        <v>0.54166666666666663</v>
      </c>
      <c r="C85" s="311">
        <f>((A85-A84)+(B85-B84))*24</f>
        <v>29</v>
      </c>
      <c r="D85" s="467">
        <v>3.1</v>
      </c>
      <c r="E85" s="452">
        <v>77.400000000000006</v>
      </c>
      <c r="F85" s="348">
        <v>50400</v>
      </c>
      <c r="G85" s="452"/>
      <c r="H85" s="452">
        <v>55</v>
      </c>
      <c r="I85" s="348">
        <v>3416</v>
      </c>
      <c r="J85" s="348">
        <v>1967</v>
      </c>
      <c r="K85" s="471">
        <v>25.2</v>
      </c>
      <c r="L85" s="476">
        <v>232</v>
      </c>
      <c r="M85" s="471"/>
      <c r="N85" s="452"/>
      <c r="O85" s="472"/>
      <c r="P85" s="474"/>
      <c r="Q85" s="474"/>
      <c r="R85" s="474"/>
      <c r="S85" s="471"/>
      <c r="T85" s="471"/>
      <c r="U85" s="471"/>
      <c r="V85" s="467">
        <v>2.5</v>
      </c>
      <c r="W85" s="452">
        <v>59.7</v>
      </c>
      <c r="X85" s="348">
        <v>26600</v>
      </c>
      <c r="Y85" s="348"/>
      <c r="Z85" s="348">
        <v>1431</v>
      </c>
      <c r="AA85" s="348">
        <v>239</v>
      </c>
      <c r="AB85" s="471">
        <v>61.7</v>
      </c>
      <c r="AC85" s="476">
        <v>169</v>
      </c>
      <c r="AD85" s="391">
        <f>D81*(100-E81)/(100-W85)</f>
        <v>1.799106699751861</v>
      </c>
      <c r="AE85" s="387">
        <f>D81-V85</f>
        <v>0.68000000000000016</v>
      </c>
      <c r="AF85" s="393">
        <f>100*(AVERAGE(D81,D78,D70,D71,D67,D63,D57)-V85)/AVERAGE(D81,D78,D70,D71,D67,D63,D57)</f>
        <v>17.801784875528426</v>
      </c>
      <c r="AG85" s="393">
        <f>100*(1-((100-AVERAGE(E81,E78,E71,E70,E67,E63,E57))/(100-W85)))</f>
        <v>40.389932647997185</v>
      </c>
      <c r="AH85" s="387">
        <f>E81-W85</f>
        <v>17.5</v>
      </c>
      <c r="AI85" s="393">
        <f>100*(1-((V85*W85)/(AVERAGE(D81,D78,D71,D70,D67,D63,D57)*AVERAGE(E81,E78,E71,E70,E67,E63,E57))))</f>
        <v>35.411713860340214</v>
      </c>
      <c r="AJ85" s="389">
        <f>100*100*((AVERAGE(E81,E78,E71,E70,E67,E63,E57)-W85)/((100-W85)*AVERAGE(E81,E78,E71,E70,E67,E63,E57)))</f>
        <v>53.160636382366917</v>
      </c>
      <c r="AK85" s="467"/>
      <c r="AL85" s="365">
        <v>35.700000000000003</v>
      </c>
      <c r="AM85" s="452">
        <v>824</v>
      </c>
      <c r="AN85" s="327">
        <f>(AM85-AM84)*AQ$1/((C85)/24)</f>
        <v>64.353103448275874</v>
      </c>
      <c r="AO85" s="327">
        <f>AQ$3/AN85</f>
        <v>21.956983024691354</v>
      </c>
      <c r="AP85" s="334">
        <v>442</v>
      </c>
      <c r="AQ85" s="348">
        <f t="shared" si="54"/>
        <v>64315.05</v>
      </c>
      <c r="AR85" s="72">
        <f>(AQ85-AQ84)/(C85/24)</f>
        <v>799.0758620689619</v>
      </c>
      <c r="AS85" s="161">
        <f>(AQ85-AQ84)/C85</f>
        <v>33.294827586206743</v>
      </c>
      <c r="AT85" s="313">
        <f>AR85/(AN85*(AVERAGE(D$70,D$71,D$63,D$50,D$51,D$56,D$57,D$67,D$78,D$81))*AVERAGE(E$70,E$71,E$63,E$50,E$51,E$56,E$57,E$67,E$78,E$81)*0.0001)</f>
        <v>527.4559911107981</v>
      </c>
      <c r="AU85" s="441"/>
      <c r="AV85" s="328">
        <f>AR85/(AN85*AVERAGE(D$70,D$71,D$50,D$51,D$56,D$57,D$63,D$67,D$78,D$81)*0.01)</f>
        <v>400.55007964954012</v>
      </c>
      <c r="AW85" s="477">
        <f t="shared" si="49"/>
        <v>0.56551724137930781</v>
      </c>
      <c r="AX85" s="441"/>
      <c r="AY85" s="441"/>
      <c r="AZ85" s="441"/>
      <c r="BA85" s="441"/>
      <c r="BB85" s="441"/>
      <c r="BC85" s="476"/>
      <c r="BD85" s="478"/>
      <c r="BE85" s="390"/>
      <c r="BF85" s="471"/>
      <c r="BG85" s="467">
        <v>2.4</v>
      </c>
      <c r="BH85" s="452">
        <v>62.9</v>
      </c>
      <c r="BI85" s="348">
        <v>29600</v>
      </c>
      <c r="BJ85" s="348">
        <v>30.7</v>
      </c>
      <c r="BK85" s="348">
        <v>2407</v>
      </c>
      <c r="BL85" s="348">
        <v>473</v>
      </c>
      <c r="BM85" s="471">
        <v>58</v>
      </c>
      <c r="BN85" s="476">
        <v>160</v>
      </c>
      <c r="BO85" s="391">
        <f>D81*(100-E81)/(100-BH85)</f>
        <v>1.954285714285714</v>
      </c>
      <c r="BP85" s="387">
        <f>D81-BG85</f>
        <v>0.78000000000000025</v>
      </c>
      <c r="BQ85" s="392">
        <f>100*(AVERAGE(D81,D78,D70,D71,D67,D63,D57)-BG85)/AVERAGE(D81,D78,D70,D71,D67,D63,D57)</f>
        <v>21.089713480507296</v>
      </c>
      <c r="BR85" s="393">
        <f>100*(1-((100-AVERAGE(E81,E78,E70,E71,E67,E63,E57))/(100-BH85)))</f>
        <v>35.248363496341959</v>
      </c>
      <c r="BS85" s="387">
        <f>E81-BH85</f>
        <v>14.300000000000004</v>
      </c>
      <c r="BT85" s="392">
        <f>100*(1-((BG85*BH85)/(AVERAGE(D81,D78,D70,D71,D67,D63,D57)*AVERAGE(E81,E78,E70,E71,E67,E63,E57))))</f>
        <v>34.671707365875768</v>
      </c>
      <c r="BU85" s="389">
        <f>100*100*((AVERAGE(E81,E78,E70,E71,E67,E63,E57)-BH85)/((100-BH85)*AVERAGE(E81,E78,E70,E71,E67,E63,E57)))</f>
        <v>46.3933785488857</v>
      </c>
      <c r="BV85" s="467"/>
      <c r="BW85" s="470">
        <v>51.1</v>
      </c>
      <c r="BX85" s="452">
        <v>447</v>
      </c>
      <c r="BY85" s="462"/>
      <c r="BZ85" s="462"/>
      <c r="CA85" s="441">
        <v>211</v>
      </c>
      <c r="CB85" s="313">
        <f>((CA85-CA$55)*CB$2)+CB$55</f>
        <v>32274.784374999999</v>
      </c>
      <c r="CC85" s="334"/>
      <c r="CD85" s="334"/>
      <c r="CE85" s="72"/>
      <c r="CF85" s="441"/>
      <c r="CG85" s="441"/>
      <c r="CH85" s="433"/>
      <c r="CI85" s="441"/>
      <c r="CJ85" s="441"/>
      <c r="CK85" s="441"/>
      <c r="CL85" s="441"/>
      <c r="CM85" s="441"/>
      <c r="CN85" s="473"/>
    </row>
    <row r="86" spans="1:93" s="337" customFormat="1" ht="42.75">
      <c r="A86" s="309">
        <f t="shared" si="73"/>
        <v>41241</v>
      </c>
      <c r="B86" s="310">
        <v>0.33333333333333331</v>
      </c>
      <c r="C86" s="311">
        <f>((A86-A85)+(B86-B85))*24</f>
        <v>19</v>
      </c>
      <c r="D86" s="339">
        <v>2.9</v>
      </c>
      <c r="E86" s="365">
        <v>78.17</v>
      </c>
      <c r="F86" s="319"/>
      <c r="G86" s="365">
        <v>5.86</v>
      </c>
      <c r="H86" s="319"/>
      <c r="I86" s="319"/>
      <c r="J86" s="317"/>
      <c r="K86" s="317"/>
      <c r="L86" s="320"/>
      <c r="M86" s="471">
        <v>50</v>
      </c>
      <c r="N86" s="452">
        <v>88</v>
      </c>
      <c r="O86" s="472"/>
      <c r="P86" s="474"/>
      <c r="Q86" s="474"/>
      <c r="R86" s="474"/>
      <c r="S86" s="317"/>
      <c r="T86" s="317"/>
      <c r="U86" s="317"/>
      <c r="V86" s="339">
        <v>1.99</v>
      </c>
      <c r="W86" s="365">
        <v>64.89</v>
      </c>
      <c r="X86" s="319"/>
      <c r="Y86" s="319"/>
      <c r="Z86" s="319"/>
      <c r="AA86" s="317"/>
      <c r="AB86" s="317"/>
      <c r="AC86" s="320"/>
      <c r="AD86" s="391">
        <f>D81*(100-E81)/(100-W86)</f>
        <v>2.0650526915408713</v>
      </c>
      <c r="AE86" s="387">
        <f>D81-V86</f>
        <v>1.1900000000000002</v>
      </c>
      <c r="AF86" s="393">
        <f>100*(AVERAGE(D81,D78,D71,D70,D67,D63,D57)-V86)/AVERAGE(D81,D78,D71,D70,D67,D63,D57)</f>
        <v>34.570220760920627</v>
      </c>
      <c r="AG86" s="393">
        <f>100*(1-((100-AVERAGE(E81,E78,E71,E70,E67,E63,E57))/(100-W86)))</f>
        <v>31.578304919233457</v>
      </c>
      <c r="AH86" s="387">
        <f>E81-W86</f>
        <v>12.310000000000002</v>
      </c>
      <c r="AI86" s="393">
        <f>100*(1-((V86*W86)/(AVERAGE(D81,D78,D71,D70,D67,D63,D57)*AVERAGE(E81,E78,E71,E70,E67,E63,E57))))</f>
        <v>44.118214831966341</v>
      </c>
      <c r="AJ86" s="389">
        <f>100*100*((AVERAGE(E81,E78,E71,E70,E67,E63,E57)-W86)/((100-W86)*AVERAGE(E81,E78,E71,E70,E67,E63,E57)))</f>
        <v>41.562901330218516</v>
      </c>
      <c r="AK86" s="467">
        <v>7.05</v>
      </c>
      <c r="AL86" s="365">
        <v>33.6</v>
      </c>
      <c r="AM86" s="452">
        <v>844</v>
      </c>
      <c r="AN86" s="327">
        <f t="shared" ref="AN86:AN93" si="74">(AM86-AM85)*AQ$1/((C86)/24)</f>
        <v>54.568421052631585</v>
      </c>
      <c r="AO86" s="327">
        <f t="shared" ref="AO86:AO92" si="75">AQ$3/AN86</f>
        <v>25.894097222222218</v>
      </c>
      <c r="AP86" s="334">
        <v>453</v>
      </c>
      <c r="AQ86" s="348">
        <f t="shared" si="54"/>
        <v>64978.865625000006</v>
      </c>
      <c r="AR86" s="313">
        <f t="shared" ref="AR86:AR93" si="76">(AQ86-AQ85)/(C86/24)</f>
        <v>838.50394736842475</v>
      </c>
      <c r="AS86" s="463">
        <f t="shared" ref="AS86:AS93" si="77">(AQ86-AQ85)/C86</f>
        <v>34.937664473684364</v>
      </c>
      <c r="AT86" s="72">
        <f>AR86/(AN86*(AVERAGE(D$70,D$71,D$63,D$50,D$51,D$56,D$57,D$67,D$78,D$81))*AVERAGE(E$70,E$71,E$63,E$50,E$51,E$56,E$57,E$67,E$78,E$81)*0.0001)</f>
        <v>652.72678899961863</v>
      </c>
      <c r="AU86" s="313">
        <f>(AQ86-AQ57)/(AVERAGE(AN57:AN86)*((AVERAGE(D86,D81,D78,D71,D70,D67,D57,D63)*AVERAGE(E86,E81,E78,E71,E70,E67,E57,E63))-(V86*W86))*0.0001*(SUM(C57:C86)/24))</f>
        <v>1405.8792030835418</v>
      </c>
      <c r="AV86" s="143">
        <f>AR86/(AN86*AVERAGE(D$70,D$71,D$50,D$51,D$56,D$57,D$63,D$67,D$78,D$81)*0.01)</f>
        <v>495.68072356631035</v>
      </c>
      <c r="AW86" s="433">
        <f t="shared" si="49"/>
        <v>0.59342105263158151</v>
      </c>
      <c r="AX86" s="462">
        <v>67.900000000000006</v>
      </c>
      <c r="AY86" s="462">
        <v>30.2</v>
      </c>
      <c r="AZ86" s="441">
        <v>0</v>
      </c>
      <c r="BA86" s="441">
        <v>11</v>
      </c>
      <c r="BB86" s="441">
        <v>66</v>
      </c>
      <c r="BC86" s="320"/>
      <c r="BD86" s="368"/>
      <c r="BE86" s="330"/>
      <c r="BF86" s="317"/>
      <c r="BG86" s="339">
        <v>2.2200000000000002</v>
      </c>
      <c r="BH86" s="365">
        <v>60.47</v>
      </c>
      <c r="BI86" s="319"/>
      <c r="BJ86" s="319"/>
      <c r="BK86" s="319"/>
      <c r="BL86" s="317"/>
      <c r="BM86" s="317"/>
      <c r="BN86" s="320"/>
      <c r="BO86" s="391">
        <f>D81*(100-E81)/(100-BH86)</f>
        <v>1.8341512775107511</v>
      </c>
      <c r="BP86" s="387">
        <f>D81-BG86</f>
        <v>0.96</v>
      </c>
      <c r="BQ86" s="392">
        <f>100*(AVERAGE(D78,D70,D71,D81,D63,D57,D67)-BG86)/AVERAGE(D78,D70,D71,D81,D63,D57,D67)</f>
        <v>27.007984969469238</v>
      </c>
      <c r="BR86" s="393">
        <f>100*(1-((100-AVERAGE(E81,E78,E71,E63,E70,E57,E67))/(100-BH86)))</f>
        <v>39.228795489863053</v>
      </c>
      <c r="BS86" s="387">
        <f>E78-BH86</f>
        <v>15.129999999999995</v>
      </c>
      <c r="BT86" s="392">
        <f>100*(1-((BG86*BH86)/(AVERAGE(D70,D78,D71,D81,D57,D63,D67)*AVERAGE(E70,E81,E71,E78,E57,E63,E67))))</f>
        <v>41.905855064919216</v>
      </c>
      <c r="BU86" s="389">
        <f>100*100*((AVERAGE(E70,E78,E71,E81,E63,E57,E67)-BH86)/((100-BH86)*AVERAGE(E70,E78,E71,E81,E63,E57,E67)))</f>
        <v>51.632364701609767</v>
      </c>
      <c r="BV86" s="467">
        <v>7.3</v>
      </c>
      <c r="BW86" s="470">
        <v>47.4</v>
      </c>
      <c r="BX86" s="452">
        <v>448</v>
      </c>
      <c r="BY86" s="462">
        <f t="shared" ref="BY86:BY95" si="78">(BX86-BX85)*CB$1/((C86)/24)</f>
        <v>2.5263157894736845</v>
      </c>
      <c r="BZ86" s="462"/>
      <c r="CA86" s="441">
        <v>212</v>
      </c>
      <c r="CB86" s="313">
        <f>((CA86-CA$55)*CB$2)+CB$55</f>
        <v>32336.112499999999</v>
      </c>
      <c r="CC86" s="289"/>
      <c r="CD86" s="289"/>
      <c r="CE86" s="72"/>
      <c r="CF86" s="313"/>
      <c r="CG86" s="313"/>
      <c r="CH86" s="433"/>
      <c r="CI86" s="441">
        <v>64.5</v>
      </c>
      <c r="CJ86" s="441">
        <v>30.4</v>
      </c>
      <c r="CK86" s="441">
        <v>0</v>
      </c>
      <c r="CL86" s="441">
        <v>10</v>
      </c>
      <c r="CM86" s="441">
        <v>160</v>
      </c>
      <c r="CN86" s="473" t="s">
        <v>115</v>
      </c>
    </row>
    <row r="87" spans="1:93" s="69" customFormat="1" ht="28.5">
      <c r="A87" s="141">
        <f t="shared" si="73"/>
        <v>41242</v>
      </c>
      <c r="B87" s="307">
        <v>0.33333333333333331</v>
      </c>
      <c r="C87" s="304">
        <f t="shared" ref="C87:C120" si="79">((A87-A86)+(B87-B86))*24</f>
        <v>24</v>
      </c>
      <c r="D87" s="65"/>
      <c r="E87" s="66"/>
      <c r="F87" s="66"/>
      <c r="G87" s="66"/>
      <c r="H87" s="66"/>
      <c r="I87" s="66"/>
      <c r="J87" s="86"/>
      <c r="K87" s="86"/>
      <c r="L87" s="63"/>
      <c r="M87" s="86">
        <v>78</v>
      </c>
      <c r="N87" s="66"/>
      <c r="O87" s="261"/>
      <c r="P87" s="465"/>
      <c r="Q87" s="465"/>
      <c r="R87" s="465"/>
      <c r="S87" s="86"/>
      <c r="T87" s="86"/>
      <c r="U87" s="86"/>
      <c r="V87" s="65"/>
      <c r="W87" s="66"/>
      <c r="X87" s="76"/>
      <c r="Y87" s="66"/>
      <c r="Z87" s="66"/>
      <c r="AA87" s="86"/>
      <c r="AB87" s="86"/>
      <c r="AC87" s="63"/>
      <c r="AD87" s="93"/>
      <c r="AE87" s="83"/>
      <c r="AF87" s="88"/>
      <c r="AG87" s="85"/>
      <c r="AH87" s="75"/>
      <c r="AI87" s="83"/>
      <c r="AJ87" s="195"/>
      <c r="AK87" s="65"/>
      <c r="AL87" s="66">
        <v>35.700000000000003</v>
      </c>
      <c r="AM87" s="66">
        <v>872</v>
      </c>
      <c r="AN87" s="89">
        <f t="shared" si="74"/>
        <v>60.480000000000004</v>
      </c>
      <c r="AO87" s="89">
        <f t="shared" si="75"/>
        <v>23.363095238095237</v>
      </c>
      <c r="AP87" s="76">
        <v>467</v>
      </c>
      <c r="AQ87" s="76">
        <f t="shared" si="54"/>
        <v>65823.721875000003</v>
      </c>
      <c r="AR87" s="72">
        <f t="shared" si="76"/>
        <v>844.85624999999709</v>
      </c>
      <c r="AS87" s="161">
        <f t="shared" si="77"/>
        <v>35.202343749999876</v>
      </c>
      <c r="AT87" s="72">
        <f>AR87/(AN87*(AVERAGE(D$70,D$71,D$63,D$85,D$86,D$56,D$57,D$67,D$78,D$81))*AVERAGE(E$70,E$71,E$63,E$85,E$86,E$56,E$57,E$67,E$78,E$81)*0.0001)</f>
        <v>625.380069418007</v>
      </c>
      <c r="AU87" s="85"/>
      <c r="AV87" s="143">
        <f>AR87/(AN87*AVERAGE(D$70,D$71,D$63,D$85,D$86,D$56,D$57,D$67,D$78,D$81)*0.01)</f>
        <v>475.95175563126844</v>
      </c>
      <c r="AW87" s="433">
        <f t="shared" si="49"/>
        <v>0.59791666666666465</v>
      </c>
      <c r="AX87" s="66"/>
      <c r="AY87" s="66"/>
      <c r="AZ87" s="66"/>
      <c r="BA87" s="66"/>
      <c r="BB87" s="66"/>
      <c r="BC87" s="63"/>
      <c r="BD87" s="64"/>
      <c r="BE87" s="147"/>
      <c r="BF87" s="86"/>
      <c r="BG87" s="65"/>
      <c r="BH87" s="66"/>
      <c r="BI87" s="76"/>
      <c r="BJ87" s="66"/>
      <c r="BK87" s="76"/>
      <c r="BL87" s="86"/>
      <c r="BM87" s="86"/>
      <c r="BN87" s="63"/>
      <c r="BO87" s="93"/>
      <c r="BP87" s="83"/>
      <c r="BQ87" s="88"/>
      <c r="BR87" s="85"/>
      <c r="BS87" s="194"/>
      <c r="BT87" s="75"/>
      <c r="BU87" s="179"/>
      <c r="BV87" s="65"/>
      <c r="BW87" s="66">
        <v>51.1</v>
      </c>
      <c r="BX87" s="66">
        <v>451</v>
      </c>
      <c r="BY87" s="443">
        <f t="shared" si="78"/>
        <v>6</v>
      </c>
      <c r="BZ87" s="443"/>
      <c r="CA87" s="66">
        <v>213</v>
      </c>
      <c r="CB87" s="301">
        <f>((CA87-CA$55)*CB$2)+CB$55</f>
        <v>32397.440624999999</v>
      </c>
      <c r="CC87" s="289"/>
      <c r="CD87" s="289"/>
      <c r="CE87" s="72"/>
      <c r="CF87" s="161"/>
      <c r="CG87" s="161"/>
      <c r="CH87" s="433"/>
      <c r="CI87" s="66"/>
      <c r="CJ87" s="66"/>
      <c r="CK87" s="66"/>
      <c r="CL87" s="66"/>
      <c r="CM87" s="66"/>
      <c r="CN87" s="473" t="s">
        <v>116</v>
      </c>
    </row>
    <row r="88" spans="1:93" s="94" customFormat="1">
      <c r="A88" s="141">
        <f t="shared" si="73"/>
        <v>41243</v>
      </c>
      <c r="B88" s="307">
        <f t="shared" ref="B88:B93" si="80">B87</f>
        <v>0.33333333333333331</v>
      </c>
      <c r="C88" s="304">
        <f t="shared" si="79"/>
        <v>24</v>
      </c>
      <c r="D88" s="65"/>
      <c r="E88" s="66"/>
      <c r="F88" s="66"/>
      <c r="G88" s="66"/>
      <c r="H88" s="66"/>
      <c r="I88" s="66"/>
      <c r="J88" s="86"/>
      <c r="K88" s="86"/>
      <c r="L88" s="63"/>
      <c r="M88" s="86"/>
      <c r="N88" s="66"/>
      <c r="O88" s="261"/>
      <c r="P88" s="465"/>
      <c r="Q88" s="465"/>
      <c r="R88" s="465"/>
      <c r="S88" s="86"/>
      <c r="T88" s="86"/>
      <c r="U88" s="86"/>
      <c r="V88" s="65"/>
      <c r="W88" s="66"/>
      <c r="X88" s="72"/>
      <c r="Y88" s="66"/>
      <c r="Z88" s="66"/>
      <c r="AA88" s="86"/>
      <c r="AB88" s="86"/>
      <c r="AC88" s="63"/>
      <c r="AD88" s="93"/>
      <c r="AE88" s="83"/>
      <c r="AF88" s="88"/>
      <c r="AG88" s="85"/>
      <c r="AH88" s="71"/>
      <c r="AI88" s="83"/>
      <c r="AJ88" s="108"/>
      <c r="AK88" s="180"/>
      <c r="AL88" s="159">
        <v>35.700000000000003</v>
      </c>
      <c r="AM88" s="180">
        <v>900</v>
      </c>
      <c r="AN88" s="89">
        <f t="shared" si="74"/>
        <v>60.480000000000004</v>
      </c>
      <c r="AO88" s="89">
        <f t="shared" si="75"/>
        <v>23.363095238095237</v>
      </c>
      <c r="AP88" s="76">
        <v>480</v>
      </c>
      <c r="AQ88" s="76">
        <f t="shared" si="54"/>
        <v>66608.231250000012</v>
      </c>
      <c r="AR88" s="72">
        <f t="shared" si="76"/>
        <v>784.50937500000873</v>
      </c>
      <c r="AS88" s="161">
        <f t="shared" si="77"/>
        <v>32.687890625000364</v>
      </c>
      <c r="AT88" s="72">
        <f>AR88/(AN88*(AVERAGE(D$70,D$71,D$63,D$85,D$86,D$56,D$57,D$67,D$78,D$81))*AVERAGE(E$70,E$71,E$63,E$85,E$86,E$56,E$57,E$67,E$78,E$81)*0.0001)</f>
        <v>580.71006445958642</v>
      </c>
      <c r="AU88" s="180"/>
      <c r="AV88" s="143">
        <f>AR88/(AN88*AVERAGE(D$70,D$71,D$63,D$85,D$86,D$56,D$57,D$67,D$78,D$81)*0.01)</f>
        <v>441.9552016576128</v>
      </c>
      <c r="AW88" s="433">
        <f t="shared" si="49"/>
        <v>0.55520833333333952</v>
      </c>
      <c r="AX88" s="180"/>
      <c r="AY88" s="180"/>
      <c r="AZ88" s="180"/>
      <c r="BA88" s="180"/>
      <c r="BB88" s="180"/>
      <c r="BC88" s="63"/>
      <c r="BD88" s="64"/>
      <c r="BE88" s="147"/>
      <c r="BF88" s="86"/>
      <c r="BG88" s="65"/>
      <c r="BH88" s="66"/>
      <c r="BI88" s="72"/>
      <c r="BJ88" s="66"/>
      <c r="BK88" s="72"/>
      <c r="BL88" s="86"/>
      <c r="BM88" s="86"/>
      <c r="BN88" s="63"/>
      <c r="BO88" s="93"/>
      <c r="BP88" s="83"/>
      <c r="BQ88" s="88"/>
      <c r="BR88" s="85"/>
      <c r="BS88" s="92"/>
      <c r="BT88" s="71"/>
      <c r="BU88" s="115"/>
      <c r="BV88" s="65"/>
      <c r="BW88" s="66">
        <v>51.1</v>
      </c>
      <c r="BX88" s="66">
        <v>451</v>
      </c>
      <c r="BY88" s="443">
        <f t="shared" si="78"/>
        <v>0</v>
      </c>
      <c r="BZ88" s="443"/>
      <c r="CA88" s="72">
        <v>214</v>
      </c>
      <c r="CB88" s="301">
        <f t="shared" ref="CB88:CB144" si="81">((CA88-CA$55)*CB$2)+CB$55</f>
        <v>32458.768749999999</v>
      </c>
      <c r="CC88" s="289"/>
      <c r="CD88" s="289"/>
      <c r="CE88" s="72"/>
      <c r="CF88" s="66"/>
      <c r="CG88" s="72"/>
      <c r="CH88" s="433"/>
      <c r="CI88" s="66"/>
      <c r="CJ88" s="66"/>
      <c r="CK88" s="66"/>
      <c r="CL88" s="66"/>
      <c r="CM88" s="66"/>
      <c r="CN88" s="116"/>
    </row>
    <row r="89" spans="1:93">
      <c r="A89" s="141">
        <f t="shared" si="73"/>
        <v>41244</v>
      </c>
      <c r="B89" s="307">
        <f t="shared" si="80"/>
        <v>0.33333333333333331</v>
      </c>
      <c r="C89" s="304">
        <f t="shared" si="79"/>
        <v>24</v>
      </c>
      <c r="D89" s="65"/>
      <c r="E89" s="66"/>
      <c r="F89" s="66"/>
      <c r="G89" s="66"/>
      <c r="H89" s="66"/>
      <c r="I89" s="66"/>
      <c r="J89" s="86"/>
      <c r="K89" s="86"/>
      <c r="L89" s="63"/>
      <c r="M89" s="86">
        <v>50</v>
      </c>
      <c r="N89" s="66">
        <v>90</v>
      </c>
      <c r="O89" s="261"/>
      <c r="P89" s="424"/>
      <c r="Q89" s="424"/>
      <c r="R89" s="424"/>
      <c r="S89" s="86"/>
      <c r="T89" s="86"/>
      <c r="U89" s="86"/>
      <c r="V89" s="65"/>
      <c r="W89" s="66"/>
      <c r="X89" s="66"/>
      <c r="Y89" s="66"/>
      <c r="Z89" s="66"/>
      <c r="AA89" s="86"/>
      <c r="AB89" s="86"/>
      <c r="AC89" s="63"/>
      <c r="AD89" s="87"/>
      <c r="AE89" s="87"/>
      <c r="AF89" s="87"/>
      <c r="AG89" s="66"/>
      <c r="AH89" s="66"/>
      <c r="AI89" s="87"/>
      <c r="AJ89" s="63"/>
      <c r="AK89" s="180"/>
      <c r="AL89" s="159">
        <v>35.700000000000003</v>
      </c>
      <c r="AM89" s="180">
        <v>927</v>
      </c>
      <c r="AN89" s="89">
        <f t="shared" si="74"/>
        <v>58.320000000000007</v>
      </c>
      <c r="AO89" s="89">
        <f t="shared" si="75"/>
        <v>24.228395061728392</v>
      </c>
      <c r="AP89" s="76">
        <v>489</v>
      </c>
      <c r="AQ89" s="76">
        <f t="shared" si="54"/>
        <v>67151.353125000009</v>
      </c>
      <c r="AR89" s="72">
        <f t="shared" si="76"/>
        <v>543.12187499999709</v>
      </c>
      <c r="AS89" s="161">
        <f t="shared" si="77"/>
        <v>22.63007812499988</v>
      </c>
      <c r="AT89" s="72">
        <f>AR89/(AN89*(AVERAGE(D$70,D$71,D$63,D$85,D$86,D$56,D$57,D$67,D$78,D$81))*AVERAGE(E$70,E$71,E$63,E$85,E$86,E$56,E$57,E$67,E$78,E$81)*0.0001)</f>
        <v>416.9200462786705</v>
      </c>
      <c r="AU89" s="180"/>
      <c r="AV89" s="143">
        <f>AR89/(AN89*AVERAGE(D$70,D$71,D$63,D$85,D$86,D$56,D$57,D$67,D$78,D$81)*0.01)</f>
        <v>317.30117042084498</v>
      </c>
      <c r="AW89" s="433">
        <f t="shared" si="49"/>
        <v>0.38437499999999791</v>
      </c>
      <c r="AX89" s="180"/>
      <c r="AY89" s="180"/>
      <c r="AZ89" s="180"/>
      <c r="BA89" s="180"/>
      <c r="BB89" s="180"/>
      <c r="BC89" s="63"/>
      <c r="BD89" s="64"/>
      <c r="BE89" s="147"/>
      <c r="BF89" s="86"/>
      <c r="BG89" s="65"/>
      <c r="BH89" s="66"/>
      <c r="BI89" s="66"/>
      <c r="BJ89" s="66"/>
      <c r="BK89" s="66"/>
      <c r="BL89" s="86"/>
      <c r="BM89" s="86"/>
      <c r="BN89" s="63"/>
      <c r="BO89" s="87"/>
      <c r="BP89" s="87"/>
      <c r="BQ89" s="87"/>
      <c r="BR89" s="66"/>
      <c r="BS89" s="64"/>
      <c r="BT89" s="66"/>
      <c r="BU89" s="67"/>
      <c r="BV89" s="65"/>
      <c r="BW89" s="66">
        <v>51.1</v>
      </c>
      <c r="BX89" s="66">
        <v>451</v>
      </c>
      <c r="BY89" s="443">
        <f t="shared" si="78"/>
        <v>0</v>
      </c>
      <c r="BZ89" s="443"/>
      <c r="CA89" s="66">
        <v>215</v>
      </c>
      <c r="CB89" s="301">
        <f t="shared" si="81"/>
        <v>32520.096874999999</v>
      </c>
      <c r="CC89" s="289"/>
      <c r="CD89" s="289"/>
      <c r="CE89" s="72"/>
      <c r="CF89" s="66"/>
      <c r="CG89" s="72"/>
      <c r="CH89" s="433"/>
      <c r="CI89" s="66"/>
      <c r="CJ89" s="66"/>
      <c r="CK89" s="66"/>
      <c r="CL89" s="66"/>
      <c r="CM89" s="66"/>
      <c r="CN89" s="110"/>
    </row>
    <row r="90" spans="1:93">
      <c r="A90" s="141">
        <f t="shared" si="73"/>
        <v>41245</v>
      </c>
      <c r="B90" s="307">
        <f t="shared" si="80"/>
        <v>0.33333333333333331</v>
      </c>
      <c r="C90" s="304">
        <f t="shared" si="79"/>
        <v>24</v>
      </c>
      <c r="D90" s="65"/>
      <c r="E90" s="66"/>
      <c r="F90" s="66"/>
      <c r="G90" s="66"/>
      <c r="H90" s="66"/>
      <c r="I90" s="66"/>
      <c r="J90" s="86"/>
      <c r="K90" s="86"/>
      <c r="L90" s="63"/>
      <c r="M90" s="86"/>
      <c r="N90" s="66"/>
      <c r="O90" s="261"/>
      <c r="P90" s="424"/>
      <c r="Q90" s="424"/>
      <c r="R90" s="424"/>
      <c r="S90" s="86"/>
      <c r="T90" s="86"/>
      <c r="U90" s="86"/>
      <c r="V90" s="65"/>
      <c r="W90" s="66"/>
      <c r="X90" s="66"/>
      <c r="Y90" s="66"/>
      <c r="Z90" s="66"/>
      <c r="AA90" s="86"/>
      <c r="AB90" s="86"/>
      <c r="AC90" s="63"/>
      <c r="AD90" s="87"/>
      <c r="AE90" s="87"/>
      <c r="AF90" s="87"/>
      <c r="AG90" s="66"/>
      <c r="AH90" s="66"/>
      <c r="AI90" s="87"/>
      <c r="AJ90" s="63"/>
      <c r="AK90" s="180"/>
      <c r="AL90" s="159">
        <v>35.700000000000003</v>
      </c>
      <c r="AM90" s="180">
        <v>954</v>
      </c>
      <c r="AN90" s="89">
        <f t="shared" si="74"/>
        <v>58.320000000000007</v>
      </c>
      <c r="AO90" s="89">
        <f t="shared" si="75"/>
        <v>24.228395061728392</v>
      </c>
      <c r="AP90" s="76">
        <v>501</v>
      </c>
      <c r="AQ90" s="76">
        <f t="shared" si="54"/>
        <v>67875.515625</v>
      </c>
      <c r="AR90" s="72">
        <f t="shared" si="76"/>
        <v>724.16249999999127</v>
      </c>
      <c r="AS90" s="161">
        <f t="shared" si="77"/>
        <v>30.173437499999636</v>
      </c>
      <c r="AT90" s="72">
        <f>AR90/(AN90*(AVERAGE(D$70,D$71,D$63,D$85,D$86,D$56,D$57,D$67,D$78,D$81))*AVERAGE(E$70,E$71,E$63,E$85,E$86,E$56,E$57,E$67,E$78,E$81)*0.0001)</f>
        <v>555.89339503822362</v>
      </c>
      <c r="AU90" s="180"/>
      <c r="AV90" s="143">
        <f>AR90/(AN90*AVERAGE(D$70,D$71,D$63,D$85,D$86,D$56,D$57,D$67,D$78,D$81)*0.01)</f>
        <v>423.06822722779049</v>
      </c>
      <c r="AW90" s="433">
        <f t="shared" si="49"/>
        <v>0.51249999999999385</v>
      </c>
      <c r="AX90" s="180"/>
      <c r="AY90" s="180"/>
      <c r="AZ90" s="180"/>
      <c r="BA90" s="180"/>
      <c r="BB90" s="180"/>
      <c r="BC90" s="63"/>
      <c r="BD90" s="64"/>
      <c r="BE90" s="147"/>
      <c r="BF90" s="86"/>
      <c r="BG90" s="65"/>
      <c r="BH90" s="66"/>
      <c r="BI90" s="66"/>
      <c r="BJ90" s="66"/>
      <c r="BK90" s="66"/>
      <c r="BL90" s="86"/>
      <c r="BM90" s="86"/>
      <c r="BN90" s="63"/>
      <c r="BO90" s="87"/>
      <c r="BP90" s="87"/>
      <c r="BQ90" s="87"/>
      <c r="BR90" s="66"/>
      <c r="BS90" s="64"/>
      <c r="BT90" s="66"/>
      <c r="BU90" s="67"/>
      <c r="BV90" s="65"/>
      <c r="BW90" s="66">
        <v>51.1</v>
      </c>
      <c r="BX90" s="66">
        <v>451</v>
      </c>
      <c r="BY90" s="443">
        <f t="shared" si="78"/>
        <v>0</v>
      </c>
      <c r="BZ90" s="443"/>
      <c r="CA90" s="66">
        <v>216</v>
      </c>
      <c r="CB90" s="301">
        <f t="shared" si="81"/>
        <v>32581.424999999999</v>
      </c>
      <c r="CC90" s="289"/>
      <c r="CD90" s="289"/>
      <c r="CE90" s="72"/>
      <c r="CF90" s="66"/>
      <c r="CG90" s="72"/>
      <c r="CH90" s="433"/>
      <c r="CI90" s="66"/>
      <c r="CJ90" s="66"/>
      <c r="CK90" s="66"/>
      <c r="CL90" s="66"/>
      <c r="CM90" s="66"/>
      <c r="CN90" s="110"/>
    </row>
    <row r="91" spans="1:93">
      <c r="A91" s="141">
        <f t="shared" si="73"/>
        <v>41246</v>
      </c>
      <c r="B91" s="307">
        <f t="shared" si="80"/>
        <v>0.33333333333333331</v>
      </c>
      <c r="C91" s="304">
        <f t="shared" si="79"/>
        <v>24</v>
      </c>
      <c r="D91" s="65"/>
      <c r="E91" s="66"/>
      <c r="F91" s="66"/>
      <c r="G91" s="66"/>
      <c r="H91" s="66"/>
      <c r="I91" s="66"/>
      <c r="J91" s="86"/>
      <c r="K91" s="86"/>
      <c r="L91" s="63"/>
      <c r="M91" s="86">
        <v>70</v>
      </c>
      <c r="N91" s="66"/>
      <c r="O91" s="261"/>
      <c r="P91" s="465"/>
      <c r="Q91" s="465"/>
      <c r="R91" s="465"/>
      <c r="S91" s="86"/>
      <c r="T91" s="86"/>
      <c r="U91" s="86"/>
      <c r="V91" s="65"/>
      <c r="W91" s="66"/>
      <c r="X91" s="66"/>
      <c r="Y91" s="66"/>
      <c r="Z91" s="66"/>
      <c r="AA91" s="86"/>
      <c r="AB91" s="86"/>
      <c r="AC91" s="63"/>
      <c r="AD91" s="87"/>
      <c r="AE91" s="87"/>
      <c r="AF91" s="87"/>
      <c r="AG91" s="66"/>
      <c r="AH91" s="66"/>
      <c r="AI91" s="87"/>
      <c r="AJ91" s="63"/>
      <c r="AK91" s="180"/>
      <c r="AL91" s="159">
        <v>35.700000000000003</v>
      </c>
      <c r="AM91" s="180">
        <v>980</v>
      </c>
      <c r="AN91" s="89">
        <f t="shared" si="74"/>
        <v>56.160000000000004</v>
      </c>
      <c r="AO91" s="89">
        <f t="shared" si="75"/>
        <v>25.160256410256409</v>
      </c>
      <c r="AP91" s="76">
        <v>512</v>
      </c>
      <c r="AQ91" s="76">
        <f t="shared" si="54"/>
        <v>68539.331250000003</v>
      </c>
      <c r="AR91" s="72">
        <f t="shared" si="76"/>
        <v>663.81562500000291</v>
      </c>
      <c r="AS91" s="161">
        <f t="shared" si="77"/>
        <v>27.65898437500012</v>
      </c>
      <c r="AT91" s="72">
        <f>AR91/(AN91*(AVERAGE(D$70,D$71,D$63,D$85,D$86,D$56,D$57,D$67,D$78,D$81))*AVERAGE(E$70,E$71,E$63,E$85,E$86,E$56,E$57,E$67,E$78,E$81)*0.0001)</f>
        <v>529.16775104600993</v>
      </c>
      <c r="AU91" s="180"/>
      <c r="AV91" s="143">
        <f>AR91/(AN91*AVERAGE(D$70,D$71,D$63,D$85,D$86,D$56,D$57,D$67,D$78,D$81)*0.01)</f>
        <v>402.72840861107642</v>
      </c>
      <c r="AW91" s="433">
        <f t="shared" si="49"/>
        <v>0.46979166666666872</v>
      </c>
      <c r="AX91" s="180"/>
      <c r="AY91" s="180"/>
      <c r="AZ91" s="180"/>
      <c r="BA91" s="180"/>
      <c r="BB91" s="180"/>
      <c r="BC91" s="196"/>
      <c r="BD91" s="64"/>
      <c r="BE91" s="147"/>
      <c r="BF91" s="86"/>
      <c r="BG91" s="65"/>
      <c r="BH91" s="66"/>
      <c r="BI91" s="66"/>
      <c r="BJ91" s="66"/>
      <c r="BK91" s="66"/>
      <c r="BL91" s="86"/>
      <c r="BM91" s="86"/>
      <c r="BN91" s="63"/>
      <c r="BO91" s="87"/>
      <c r="BP91" s="87"/>
      <c r="BQ91" s="87"/>
      <c r="BR91" s="66"/>
      <c r="BS91" s="64"/>
      <c r="BT91" s="66"/>
      <c r="BU91" s="67"/>
      <c r="BV91" s="65"/>
      <c r="BW91" s="66">
        <v>51.1</v>
      </c>
      <c r="BX91" s="66">
        <v>451</v>
      </c>
      <c r="BY91" s="443">
        <f t="shared" si="78"/>
        <v>0</v>
      </c>
      <c r="BZ91" s="443"/>
      <c r="CA91" s="66">
        <v>216</v>
      </c>
      <c r="CB91" s="301">
        <f t="shared" si="81"/>
        <v>32581.424999999999</v>
      </c>
      <c r="CC91" s="289"/>
      <c r="CD91" s="289"/>
      <c r="CE91" s="72"/>
      <c r="CF91" s="66"/>
      <c r="CG91" s="72"/>
      <c r="CH91" s="433"/>
      <c r="CI91" s="66"/>
      <c r="CJ91" s="66"/>
      <c r="CK91" s="66"/>
      <c r="CL91" s="66"/>
      <c r="CM91" s="66"/>
      <c r="CN91" s="113"/>
    </row>
    <row r="92" spans="1:93" s="337" customFormat="1">
      <c r="A92" s="309">
        <f t="shared" si="73"/>
        <v>41247</v>
      </c>
      <c r="B92" s="307">
        <f t="shared" si="80"/>
        <v>0.33333333333333331</v>
      </c>
      <c r="C92" s="304">
        <f t="shared" si="79"/>
        <v>24</v>
      </c>
      <c r="D92" s="482">
        <v>3</v>
      </c>
      <c r="E92" s="319">
        <v>75.3</v>
      </c>
      <c r="F92" s="348">
        <v>38900</v>
      </c>
      <c r="G92" s="319"/>
      <c r="H92" s="319"/>
      <c r="I92" s="348">
        <v>2897</v>
      </c>
      <c r="J92" s="317"/>
      <c r="K92" s="317"/>
      <c r="L92" s="320"/>
      <c r="M92" s="317"/>
      <c r="N92" s="319"/>
      <c r="O92" s="316"/>
      <c r="P92" s="465"/>
      <c r="Q92" s="465"/>
      <c r="R92" s="465"/>
      <c r="S92" s="317"/>
      <c r="T92" s="317"/>
      <c r="U92" s="317"/>
      <c r="V92" s="318">
        <v>2.1</v>
      </c>
      <c r="W92" s="319">
        <v>63.4</v>
      </c>
      <c r="X92" s="348">
        <v>22200</v>
      </c>
      <c r="Y92" s="319"/>
      <c r="Z92" s="348">
        <v>1308</v>
      </c>
      <c r="AA92" s="317"/>
      <c r="AB92" s="317"/>
      <c r="AC92" s="320"/>
      <c r="AD92" s="391">
        <f>D85*(100-E85)/(100-W92)</f>
        <v>1.9142076502732237</v>
      </c>
      <c r="AE92" s="387">
        <f>D85-V92</f>
        <v>1</v>
      </c>
      <c r="AF92" s="393">
        <f>100*(AVERAGE(D85,D86,D78,D81,D71,D70,D67,D63)-V92)/AVERAGE(D85,D86,D78,D81,D71,D70,D67,D63)</f>
        <v>33.306867804684387</v>
      </c>
      <c r="AG92" s="393">
        <f>100*(1-((100-AVERAGE(E85,E86,E78,E81,E71,E70,E67,E63))/(100-W92)))</f>
        <v>36.51297814207647</v>
      </c>
      <c r="AH92" s="387">
        <f>E85-W92</f>
        <v>14.000000000000007</v>
      </c>
      <c r="AI92" s="393">
        <f>100*(1-((V92*W92)/(AVERAGE(D85,D86,D78,D81,D71,D70,D67,D63)*AVERAGE(E85,E86,E78,E81,E71,E70,E67,E63))))</f>
        <v>44.9174306729021</v>
      </c>
      <c r="AJ92" s="389">
        <f>100*100*((AVERAGE(E85,E86,E78,E81,E71,E70,E67,E63)-W92)/((100-W92)*AVERAGE(E85,E86,E78,E81,E71,E70,E67,E63)))</f>
        <v>47.565391401640071</v>
      </c>
      <c r="AK92" s="441"/>
      <c r="AL92" s="462">
        <v>35.700000000000003</v>
      </c>
      <c r="AM92" s="441">
        <v>989</v>
      </c>
      <c r="AN92" s="327">
        <f t="shared" si="74"/>
        <v>19.440000000000001</v>
      </c>
      <c r="AO92" s="327">
        <f t="shared" si="75"/>
        <v>72.685185185185176</v>
      </c>
      <c r="AP92" s="348">
        <v>522</v>
      </c>
      <c r="AQ92" s="348">
        <f t="shared" si="54"/>
        <v>69142.8</v>
      </c>
      <c r="AR92" s="313">
        <f t="shared" si="76"/>
        <v>603.46875</v>
      </c>
      <c r="AS92" s="463">
        <f t="shared" si="77"/>
        <v>25.14453125</v>
      </c>
      <c r="AT92" s="72"/>
      <c r="AU92" s="313"/>
      <c r="AV92" s="143"/>
      <c r="AW92" s="433">
        <f t="shared" si="49"/>
        <v>0.42708333333333331</v>
      </c>
      <c r="AX92" s="441"/>
      <c r="AY92" s="441"/>
      <c r="AZ92" s="441"/>
      <c r="BA92" s="441"/>
      <c r="BB92" s="441"/>
      <c r="BC92" s="481" t="s">
        <v>117</v>
      </c>
      <c r="BD92" s="368"/>
      <c r="BE92" s="330"/>
      <c r="BF92" s="317"/>
      <c r="BG92" s="318">
        <v>2.2000000000000002</v>
      </c>
      <c r="BH92" s="319">
        <v>61.4</v>
      </c>
      <c r="BI92" s="348">
        <v>22500</v>
      </c>
      <c r="BJ92" s="319"/>
      <c r="BK92" s="348">
        <v>1866</v>
      </c>
      <c r="BL92" s="317"/>
      <c r="BM92" s="317"/>
      <c r="BN92" s="320"/>
      <c r="BO92" s="391">
        <f>D85*(100-E85)/(100-BH92)</f>
        <v>1.8150259067357508</v>
      </c>
      <c r="BP92" s="387">
        <f>D85-BG92</f>
        <v>0.89999999999999991</v>
      </c>
      <c r="BQ92" s="392">
        <f>100*(AVERAGE(D86,D81,D78,D85,D70,D67,D71,D63)-BG92)/AVERAGE(D86,D81,D78,D85,D70,D67,D71,D63)</f>
        <v>30.131004366812224</v>
      </c>
      <c r="BR92" s="393">
        <f>100*(1-((100-AVERAGE(E85,E86,E78,E70,E81,E67,E71,E63))/(100-BH92)))</f>
        <v>39.802461139896337</v>
      </c>
      <c r="BS92" s="387">
        <f>E85-BH92</f>
        <v>16.000000000000007</v>
      </c>
      <c r="BT92" s="392">
        <f>100*(1-((BG92*BH92)/(AVERAGE(D81,D86,D78,D85,D67,D70,D71,D63)*AVERAGE(E81,E85,E78,E86,E67,E70,E71,E63))))</f>
        <v>44.114815497188054</v>
      </c>
      <c r="BU92" s="389">
        <f>100*100*((AVERAGE(E81,E86,E78,E85,E70,E67,E71,E63)-BH92)/((100-BH92)*AVERAGE(E81,E86,E78,E85,E70,E67,E71,E63)))</f>
        <v>51.850595026814545</v>
      </c>
      <c r="BV92" s="318"/>
      <c r="BW92" s="319">
        <v>51.1</v>
      </c>
      <c r="BX92" s="319">
        <v>451</v>
      </c>
      <c r="BY92" s="462">
        <f t="shared" si="78"/>
        <v>0</v>
      </c>
      <c r="BZ92" s="319"/>
      <c r="CA92" s="319">
        <v>218</v>
      </c>
      <c r="CB92" s="301">
        <f t="shared" si="81"/>
        <v>32704.081249999999</v>
      </c>
      <c r="CC92" s="289"/>
      <c r="CD92" s="289"/>
      <c r="CE92" s="72"/>
      <c r="CF92" s="319"/>
      <c r="CG92" s="313"/>
      <c r="CH92" s="433"/>
      <c r="CI92" s="319"/>
      <c r="CJ92" s="319"/>
      <c r="CK92" s="319"/>
      <c r="CL92" s="319"/>
      <c r="CM92" s="319"/>
      <c r="CN92" s="442"/>
    </row>
    <row r="93" spans="1:93" s="337" customFormat="1" ht="28.5">
      <c r="A93" s="309">
        <f t="shared" si="73"/>
        <v>41248</v>
      </c>
      <c r="B93" s="307">
        <f t="shared" si="80"/>
        <v>0.33333333333333331</v>
      </c>
      <c r="C93" s="304">
        <f t="shared" si="79"/>
        <v>24</v>
      </c>
      <c r="D93" s="339">
        <v>2.97</v>
      </c>
      <c r="E93" s="365">
        <v>75.959999999999994</v>
      </c>
      <c r="F93" s="319"/>
      <c r="G93" s="365">
        <v>5.84</v>
      </c>
      <c r="H93" s="319"/>
      <c r="I93" s="319"/>
      <c r="J93" s="317"/>
      <c r="K93" s="317"/>
      <c r="L93" s="320"/>
      <c r="M93" s="317"/>
      <c r="N93" s="319"/>
      <c r="O93" s="316"/>
      <c r="P93" s="465"/>
      <c r="Q93" s="465"/>
      <c r="R93" s="465"/>
      <c r="S93" s="317"/>
      <c r="T93" s="317"/>
      <c r="U93" s="317"/>
      <c r="V93" s="339">
        <v>2.11</v>
      </c>
      <c r="W93" s="365">
        <v>65.78</v>
      </c>
      <c r="X93" s="348"/>
      <c r="Y93" s="319"/>
      <c r="Z93" s="348"/>
      <c r="AA93" s="317"/>
      <c r="AB93" s="317"/>
      <c r="AC93" s="320"/>
      <c r="AD93" s="391">
        <f>D86*(100-E86)/(100-W93)</f>
        <v>1.8499999999999999</v>
      </c>
      <c r="AE93" s="387">
        <f>D86-V93</f>
        <v>0.79</v>
      </c>
      <c r="AF93" s="393">
        <f>100*(AVERAGE(D86,D85,D78,D81,D70,D71,D67,D63)-V93)/AVERAGE(D86,D85,D78,D81,D70,D71,D67,D63)</f>
        <v>32.989281460897189</v>
      </c>
      <c r="AG93" s="393">
        <f>100*(1-((100-AVERAGE(E86,E85,E78,E81,E70,E71,E67,E63))/(100-W93)))</f>
        <v>32.097457627118608</v>
      </c>
      <c r="AH93" s="387">
        <f>E86-W93</f>
        <v>12.39</v>
      </c>
      <c r="AI93" s="393">
        <f>100*(1-((V93*W93)/(AVERAGE(D86,D85,D78,D81,D70,D71,D67,D63)*AVERAGE(E86,E85,E78,E81,E70,E71,E67,E63))))</f>
        <v>42.577517832281728</v>
      </c>
      <c r="AJ93" s="389">
        <f>100*100*((AVERAGE(E86,E85,E78,E81,E70,E71,E67,E63)-W93)/((100-W93)*AVERAGE(E86,E85,E78,E81,E70,E71,E67,E63)))</f>
        <v>41.81330071435881</v>
      </c>
      <c r="AK93" s="483">
        <v>7.11</v>
      </c>
      <c r="AL93" s="365">
        <v>34.1</v>
      </c>
      <c r="AM93" s="441">
        <v>989</v>
      </c>
      <c r="AN93" s="327">
        <f t="shared" si="74"/>
        <v>0</v>
      </c>
      <c r="AO93" s="327"/>
      <c r="AP93" s="348">
        <v>525</v>
      </c>
      <c r="AQ93" s="348">
        <f t="shared" ref="AQ93:AQ127" si="82">((AP93-AP$55)*AQ$2)+AQ$55</f>
        <v>69323.840625000012</v>
      </c>
      <c r="AR93" s="313">
        <f t="shared" si="76"/>
        <v>181.04062500000873</v>
      </c>
      <c r="AS93" s="463">
        <f t="shared" si="77"/>
        <v>7.5433593750003638</v>
      </c>
      <c r="AT93" s="72"/>
      <c r="AU93" s="441"/>
      <c r="AV93" s="143"/>
      <c r="AW93" s="433"/>
      <c r="AX93" s="441">
        <v>65</v>
      </c>
      <c r="AY93" s="441">
        <v>31</v>
      </c>
      <c r="AZ93" s="441">
        <v>0</v>
      </c>
      <c r="BA93" s="441">
        <v>15</v>
      </c>
      <c r="BB93" s="441">
        <v>135</v>
      </c>
      <c r="BC93" s="480" t="s">
        <v>119</v>
      </c>
      <c r="BD93" s="368"/>
      <c r="BE93" s="330"/>
      <c r="BF93" s="317"/>
      <c r="BG93" s="339">
        <v>2.21</v>
      </c>
      <c r="BH93" s="365">
        <v>59.74</v>
      </c>
      <c r="BI93" s="319"/>
      <c r="BJ93" s="319"/>
      <c r="BK93" s="319"/>
      <c r="BL93" s="317"/>
      <c r="BM93" s="317"/>
      <c r="BN93" s="320"/>
      <c r="BO93" s="391">
        <f>D92*(100-E92)/(100-BH93)</f>
        <v>1.8405365126676605</v>
      </c>
      <c r="BP93" s="387">
        <f>D92-BG93</f>
        <v>0.79</v>
      </c>
      <c r="BQ93" s="392">
        <f>100*(AVERAGE(D85,D81,D78,D86,D70,D67,D71,D63)-BG93)/AVERAGE(D85,D81,D78,D86,D70,D67,D71,D63)</f>
        <v>29.813418023025012</v>
      </c>
      <c r="BR93" s="393">
        <f>100*(1-((100-AVERAGE(E86,E85,E78,E70,E81,E67,E71,E63))/(100-BH93)))</f>
        <v>42.284525583705879</v>
      </c>
      <c r="BS93" s="387">
        <f>E86-BH93</f>
        <v>18.43</v>
      </c>
      <c r="BT93" s="392">
        <f>100*(1-((BG93*BH93)/(AVERAGE(D81,D85,D78,D86,D67,D70,D71,D63)*AVERAGE(E81,E86,E78,E85,E67,E70,E71,E63))))</f>
        <v>45.37856205169124</v>
      </c>
      <c r="BU93" s="389">
        <f>100*100*((AVERAGE(E81,E85,E78,E86,E70,E67,E71,E63)-BH93)/((100-BH93)*AVERAGE(E81,E85,E78,E86,E70,E67,E71,E63)))</f>
        <v>55.083975943991646</v>
      </c>
      <c r="BV93" s="318">
        <v>7.3</v>
      </c>
      <c r="BW93" s="470">
        <v>48.1</v>
      </c>
      <c r="BX93" s="319">
        <v>451</v>
      </c>
      <c r="BY93" s="462">
        <f t="shared" si="78"/>
        <v>0</v>
      </c>
      <c r="BZ93" s="319"/>
      <c r="CA93" s="319">
        <v>218</v>
      </c>
      <c r="CB93" s="301">
        <f t="shared" si="81"/>
        <v>32704.081249999999</v>
      </c>
      <c r="CC93" s="289"/>
      <c r="CD93" s="289"/>
      <c r="CE93" s="72"/>
      <c r="CF93" s="319"/>
      <c r="CG93" s="313"/>
      <c r="CH93" s="433"/>
      <c r="CI93" s="319">
        <v>63.3</v>
      </c>
      <c r="CJ93" s="319">
        <v>33.9</v>
      </c>
      <c r="CK93" s="319">
        <v>0</v>
      </c>
      <c r="CL93" s="319">
        <v>15</v>
      </c>
      <c r="CM93" s="319">
        <v>135</v>
      </c>
      <c r="CN93" s="442"/>
    </row>
    <row r="94" spans="1:93" ht="28.5">
      <c r="A94" s="141">
        <f t="shared" si="73"/>
        <v>41249</v>
      </c>
      <c r="B94" s="307">
        <f>B93</f>
        <v>0.33333333333333331</v>
      </c>
      <c r="C94" s="304">
        <f t="shared" si="79"/>
        <v>24</v>
      </c>
      <c r="D94" s="65"/>
      <c r="E94" s="66"/>
      <c r="F94" s="66"/>
      <c r="G94" s="66"/>
      <c r="H94" s="66"/>
      <c r="I94" s="66"/>
      <c r="J94" s="86"/>
      <c r="K94" s="86"/>
      <c r="L94" s="63"/>
      <c r="M94" s="86"/>
      <c r="N94" s="66"/>
      <c r="O94" s="261"/>
      <c r="P94" s="465"/>
      <c r="Q94" s="465"/>
      <c r="R94" s="465"/>
      <c r="S94" s="86"/>
      <c r="T94" s="86"/>
      <c r="U94" s="86"/>
      <c r="V94" s="65"/>
      <c r="W94" s="66"/>
      <c r="X94" s="66"/>
      <c r="Y94" s="66"/>
      <c r="Z94" s="66"/>
      <c r="AA94" s="86"/>
      <c r="AB94" s="86"/>
      <c r="AC94" s="63"/>
      <c r="AD94" s="87"/>
      <c r="AE94" s="87"/>
      <c r="AF94" s="87"/>
      <c r="AG94" s="66"/>
      <c r="AH94" s="66"/>
      <c r="AI94" s="87"/>
      <c r="AJ94" s="63"/>
      <c r="AK94" s="65"/>
      <c r="AL94" s="159">
        <v>35.6</v>
      </c>
      <c r="AM94" s="180">
        <v>990</v>
      </c>
      <c r="AN94" s="89">
        <f>(AM94-AM93)*AQ$1/((C94)/24)</f>
        <v>2.16</v>
      </c>
      <c r="AO94" s="89"/>
      <c r="AP94" s="76">
        <v>529</v>
      </c>
      <c r="AQ94" s="76">
        <f t="shared" si="82"/>
        <v>69565.228125000009</v>
      </c>
      <c r="AR94" s="72">
        <f>(AQ94-AQ93)/(C94/24)</f>
        <v>241.38749999999709</v>
      </c>
      <c r="AS94" s="161">
        <f>(AQ94-AQ93)/C94</f>
        <v>10.057812499999878</v>
      </c>
      <c r="AT94" s="72"/>
      <c r="AU94" s="180"/>
      <c r="AV94" s="143"/>
      <c r="AW94" s="433"/>
      <c r="AX94" s="180"/>
      <c r="AY94" s="180"/>
      <c r="AZ94" s="180"/>
      <c r="BA94" s="180"/>
      <c r="BB94" s="180"/>
      <c r="BC94" s="197" t="s">
        <v>120</v>
      </c>
      <c r="BD94" s="64"/>
      <c r="BE94" s="147"/>
      <c r="BF94" s="86"/>
      <c r="BG94" s="65"/>
      <c r="BH94" s="66"/>
      <c r="BI94" s="66"/>
      <c r="BJ94" s="66"/>
      <c r="BK94" s="66"/>
      <c r="BL94" s="86"/>
      <c r="BM94" s="86"/>
      <c r="BN94" s="63"/>
      <c r="BO94" s="87"/>
      <c r="BP94" s="87"/>
      <c r="BQ94" s="87"/>
      <c r="BR94" s="66"/>
      <c r="BS94" s="64"/>
      <c r="BT94" s="66"/>
      <c r="BU94" s="67"/>
      <c r="BV94" s="65"/>
      <c r="BW94" s="66">
        <v>51.1</v>
      </c>
      <c r="BX94" s="66">
        <v>452</v>
      </c>
      <c r="BY94" s="443">
        <f t="shared" si="78"/>
        <v>2</v>
      </c>
      <c r="BZ94" s="66"/>
      <c r="CA94" s="66">
        <v>219</v>
      </c>
      <c r="CB94" s="72">
        <f t="shared" si="81"/>
        <v>32765.409374999999</v>
      </c>
      <c r="CC94" s="289"/>
      <c r="CD94" s="289"/>
      <c r="CE94" s="72"/>
      <c r="CF94" s="66"/>
      <c r="CG94" s="72"/>
      <c r="CH94" s="433"/>
      <c r="CI94" s="66"/>
      <c r="CJ94" s="66"/>
      <c r="CK94" s="66"/>
      <c r="CL94" s="66"/>
      <c r="CM94" s="66"/>
      <c r="CN94" s="110"/>
    </row>
    <row r="95" spans="1:93" s="69" customFormat="1">
      <c r="A95" s="141">
        <f t="shared" si="73"/>
        <v>41250</v>
      </c>
      <c r="B95" s="307">
        <f>B94</f>
        <v>0.33333333333333331</v>
      </c>
      <c r="C95" s="304">
        <f t="shared" si="79"/>
        <v>24</v>
      </c>
      <c r="D95" s="65"/>
      <c r="E95" s="66"/>
      <c r="F95" s="183"/>
      <c r="G95" s="66"/>
      <c r="H95" s="66"/>
      <c r="I95" s="76"/>
      <c r="J95" s="256"/>
      <c r="K95" s="256"/>
      <c r="L95" s="63"/>
      <c r="M95" s="86"/>
      <c r="N95" s="66"/>
      <c r="O95" s="264"/>
      <c r="P95" s="466"/>
      <c r="Q95" s="466"/>
      <c r="R95" s="466"/>
      <c r="S95" s="86"/>
      <c r="T95" s="86"/>
      <c r="U95" s="86"/>
      <c r="V95" s="65"/>
      <c r="W95" s="66"/>
      <c r="X95" s="76"/>
      <c r="Y95" s="66"/>
      <c r="Z95" s="76"/>
      <c r="AA95" s="256"/>
      <c r="AB95" s="256"/>
      <c r="AC95" s="63"/>
      <c r="AD95" s="93"/>
      <c r="AE95" s="83"/>
      <c r="AF95" s="88"/>
      <c r="AG95" s="85"/>
      <c r="AH95" s="75"/>
      <c r="AI95" s="83"/>
      <c r="AJ95" s="195"/>
      <c r="AK95" s="65"/>
      <c r="AL95" s="159">
        <v>35.700000000000003</v>
      </c>
      <c r="AM95" s="180">
        <v>1016</v>
      </c>
      <c r="AN95" s="89">
        <f>(AM95-AM94)*AQ$1/((C95)/24)</f>
        <v>56.160000000000004</v>
      </c>
      <c r="AO95" s="89">
        <f>AQ$3/AN95</f>
        <v>25.160256410256409</v>
      </c>
      <c r="AP95" s="76">
        <v>536</v>
      </c>
      <c r="AQ95" s="76">
        <f t="shared" si="82"/>
        <v>69987.65625</v>
      </c>
      <c r="AR95" s="72">
        <f>(AQ95-AQ94)/(C95/24)</f>
        <v>422.42812499999127</v>
      </c>
      <c r="AS95" s="161">
        <f>(AQ95-AQ94)/C95</f>
        <v>17.601171874999636</v>
      </c>
      <c r="AT95" s="72">
        <f>AR95/(AN95*(AVERAGE(D$70,D$71,D$63,D$85,D$86,D$92,D$93,D$67,D$78,D$81))*AVERAGE(E$70,E$71,E$63,E$85,E$86,E$92,E$93,E$67,E$78,E$81)*0.0001)</f>
        <v>315.39648005032512</v>
      </c>
      <c r="AU95" s="85"/>
      <c r="AV95" s="143">
        <f>AR95/(AN95*AVERAGE(D$70,D$71,D$63,D$85,D$86,D$92,D$93,D$67,D$78,D$81)*0.01)</f>
        <v>241.39500393611735</v>
      </c>
      <c r="AW95" s="433">
        <f>AR95/AQ$3</f>
        <v>0.29895833333332716</v>
      </c>
      <c r="AX95" s="66"/>
      <c r="AY95" s="66"/>
      <c r="AZ95" s="66"/>
      <c r="BA95" s="66"/>
      <c r="BB95" s="66"/>
      <c r="BC95" s="196"/>
      <c r="BD95" s="64"/>
      <c r="BE95" s="147"/>
      <c r="BF95" s="86"/>
      <c r="BG95" s="65"/>
      <c r="BH95" s="66"/>
      <c r="BI95" s="76"/>
      <c r="BJ95" s="66"/>
      <c r="BK95" s="76"/>
      <c r="BL95" s="256"/>
      <c r="BM95" s="256"/>
      <c r="BN95" s="63"/>
      <c r="BO95" s="93"/>
      <c r="BP95" s="83"/>
      <c r="BQ95" s="88"/>
      <c r="BR95" s="85"/>
      <c r="BS95" s="194"/>
      <c r="BT95" s="75"/>
      <c r="BU95" s="179"/>
      <c r="BV95" s="65"/>
      <c r="BW95" s="66">
        <v>51.1</v>
      </c>
      <c r="BX95" s="66">
        <v>479</v>
      </c>
      <c r="BY95" s="443">
        <f t="shared" si="78"/>
        <v>54</v>
      </c>
      <c r="BZ95" s="443">
        <f>CB$3/BY95</f>
        <v>13.814814814814815</v>
      </c>
      <c r="CA95" s="66">
        <v>221</v>
      </c>
      <c r="CB95" s="72">
        <f t="shared" si="81"/>
        <v>32888.065625000003</v>
      </c>
      <c r="CC95" s="289"/>
      <c r="CD95" s="289"/>
      <c r="CE95" s="72"/>
      <c r="CF95" s="161"/>
      <c r="CG95" s="161"/>
      <c r="CH95" s="433"/>
      <c r="CI95" s="66"/>
      <c r="CJ95" s="66"/>
      <c r="CK95" s="66"/>
      <c r="CL95" s="66"/>
      <c r="CM95" s="66"/>
      <c r="CN95" s="111" t="s">
        <v>118</v>
      </c>
    </row>
    <row r="96" spans="1:93">
      <c r="A96" s="141">
        <f t="shared" si="73"/>
        <v>41251</v>
      </c>
      <c r="B96" s="307">
        <f t="shared" ref="B96:B122" si="83">B95</f>
        <v>0.33333333333333331</v>
      </c>
      <c r="C96" s="304">
        <f t="shared" si="79"/>
        <v>24</v>
      </c>
      <c r="D96" s="65"/>
      <c r="E96" s="66"/>
      <c r="F96" s="66"/>
      <c r="G96" s="66"/>
      <c r="H96" s="66"/>
      <c r="I96" s="66"/>
      <c r="J96" s="86"/>
      <c r="K96" s="86"/>
      <c r="L96" s="63"/>
      <c r="M96" s="86"/>
      <c r="N96" s="66"/>
      <c r="O96" s="264"/>
      <c r="P96" s="466"/>
      <c r="Q96" s="466"/>
      <c r="R96" s="466"/>
      <c r="S96" s="86"/>
      <c r="T96" s="86"/>
      <c r="U96" s="86"/>
      <c r="V96" s="65"/>
      <c r="W96" s="66"/>
      <c r="X96" s="66"/>
      <c r="Y96" s="66"/>
      <c r="Z96" s="66"/>
      <c r="AA96" s="86"/>
      <c r="AB96" s="86"/>
      <c r="AC96" s="63"/>
      <c r="AD96" s="87"/>
      <c r="AE96" s="87"/>
      <c r="AF96" s="87"/>
      <c r="AG96" s="66"/>
      <c r="AH96" s="66"/>
      <c r="AI96" s="87"/>
      <c r="AJ96" s="63"/>
      <c r="AK96" s="65"/>
      <c r="AL96" s="159">
        <v>35.700000000000003</v>
      </c>
      <c r="AM96" s="180">
        <v>1041</v>
      </c>
      <c r="AN96" s="89">
        <f t="shared" ref="AN96:AN101" si="84">(AM96-AM95)*AQ$1/((C96)/24)</f>
        <v>54</v>
      </c>
      <c r="AO96" s="89">
        <f t="shared" ref="AO96:AO101" si="85">AQ$3/AN96</f>
        <v>26.166666666666668</v>
      </c>
      <c r="AP96" s="76">
        <v>544</v>
      </c>
      <c r="AQ96" s="76">
        <f t="shared" si="82"/>
        <v>70470.431250000009</v>
      </c>
      <c r="AR96" s="72">
        <f t="shared" ref="AR96:AR101" si="86">(AQ96-AQ95)/(C96/24)</f>
        <v>482.77500000000873</v>
      </c>
      <c r="AS96" s="161">
        <f t="shared" ref="AS96:AS101" si="87">(AQ96-AQ95)/C96</f>
        <v>20.115625000000364</v>
      </c>
      <c r="AT96" s="72">
        <f>AR96/(AN96*(AVERAGE(D$70,D$71,D$63,D$85,D$86,D$92,D$93,D$67,D$78,D$81))*AVERAGE(E$70,E$71,E$63,E$85,E$86,E$92,E$93,E$67,E$78,E$81)*0.0001)</f>
        <v>374.87124485982946</v>
      </c>
      <c r="AU96" s="180"/>
      <c r="AV96" s="143">
        <f>AR96/(AN96*AVERAGE(D$70,D$71,D$63,D$85,D$86,D$92,D$93,D$67,D$78,D$81)*0.01)</f>
        <v>286.91520467836773</v>
      </c>
      <c r="AW96" s="433">
        <f t="shared" ref="AW96:AW102" si="88">AR96/AQ$3</f>
        <v>0.34166666666667284</v>
      </c>
      <c r="AX96" s="66"/>
      <c r="AY96" s="66"/>
      <c r="AZ96" s="66"/>
      <c r="BA96" s="66"/>
      <c r="BB96" s="66"/>
      <c r="BC96" s="197"/>
      <c r="BD96" s="64"/>
      <c r="BE96" s="147"/>
      <c r="BF96" s="86"/>
      <c r="BG96" s="65"/>
      <c r="BH96" s="66"/>
      <c r="BI96" s="66"/>
      <c r="BJ96" s="66"/>
      <c r="BK96" s="66"/>
      <c r="BL96" s="86"/>
      <c r="BM96" s="86"/>
      <c r="BN96" s="63"/>
      <c r="BO96" s="87"/>
      <c r="BP96" s="87"/>
      <c r="BQ96" s="87"/>
      <c r="BR96" s="66"/>
      <c r="BS96" s="64"/>
      <c r="BT96" s="66"/>
      <c r="BU96" s="67"/>
      <c r="BV96" s="65"/>
      <c r="BW96" s="66">
        <v>51.1</v>
      </c>
      <c r="BX96" s="66">
        <v>498</v>
      </c>
      <c r="BY96" s="443">
        <f t="shared" ref="BY96:BY101" si="89">(BX96-BX95)*CB$1/((C96)/24)</f>
        <v>38</v>
      </c>
      <c r="BZ96" s="443">
        <f t="shared" ref="BZ96:BZ101" si="90">CB$3/BY96</f>
        <v>19.631578947368421</v>
      </c>
      <c r="CA96" s="66">
        <v>226</v>
      </c>
      <c r="CB96" s="72">
        <f t="shared" si="81"/>
        <v>33194.706250000003</v>
      </c>
      <c r="CC96" s="289">
        <f t="shared" ref="CC96:CC101" si="91">(CB96-CB95)/((C96/24))</f>
        <v>306.640625</v>
      </c>
      <c r="CD96" s="289">
        <f t="shared" ref="CD96:CD101" si="92">(CB96-CB95)/(C96)</f>
        <v>12.776692708333334</v>
      </c>
      <c r="CE96" s="72">
        <f>CC96/(BY96*(AVERAGE(D$70,D$71,D$63,D$85,D$86,D$92,D$93,D$67,D$78,D$81))*AVERAGE(EE$70,E$71,E$63,E$85,E$86,E$92,E$93,E$67,E$78,E$81)*0.0001)</f>
        <v>338.22258387779692</v>
      </c>
      <c r="CF96" s="66"/>
      <c r="CG96" s="72">
        <f>CC96/(BY96*AVERAGE((D$70,D$71,D$63,D$85,D$86,D$92,D$93,D$67,D$78,D$81))*0.01)</f>
        <v>258.96951641780959</v>
      </c>
      <c r="CH96" s="433">
        <f t="shared" ref="CH96:CH137" si="93">CC96/CB$3</f>
        <v>0.41104641420911531</v>
      </c>
      <c r="CI96" s="66"/>
      <c r="CJ96" s="66"/>
      <c r="CK96" s="66"/>
      <c r="CL96" s="66"/>
      <c r="CM96" s="66"/>
      <c r="CN96" s="110"/>
    </row>
    <row r="97" spans="1:92" s="69" customFormat="1">
      <c r="A97" s="141">
        <f t="shared" si="73"/>
        <v>41252</v>
      </c>
      <c r="B97" s="307">
        <f t="shared" si="83"/>
        <v>0.33333333333333331</v>
      </c>
      <c r="C97" s="304">
        <f t="shared" si="79"/>
        <v>24</v>
      </c>
      <c r="D97" s="65"/>
      <c r="E97" s="66"/>
      <c r="F97" s="66"/>
      <c r="G97" s="66"/>
      <c r="H97" s="66"/>
      <c r="I97" s="66"/>
      <c r="J97" s="86"/>
      <c r="K97" s="86"/>
      <c r="L97" s="63"/>
      <c r="M97" s="86"/>
      <c r="N97" s="66"/>
      <c r="O97" s="265"/>
      <c r="P97" s="474"/>
      <c r="Q97" s="474"/>
      <c r="R97" s="474"/>
      <c r="S97" s="86"/>
      <c r="T97" s="86"/>
      <c r="U97" s="86"/>
      <c r="V97" s="65"/>
      <c r="W97" s="66"/>
      <c r="X97" s="76"/>
      <c r="Y97" s="66"/>
      <c r="Z97" s="76"/>
      <c r="AA97" s="256"/>
      <c r="AB97" s="256"/>
      <c r="AC97" s="63"/>
      <c r="AD97" s="93"/>
      <c r="AE97" s="83"/>
      <c r="AF97" s="88"/>
      <c r="AG97" s="85"/>
      <c r="AH97" s="75"/>
      <c r="AI97" s="83"/>
      <c r="AJ97" s="195"/>
      <c r="AK97" s="65"/>
      <c r="AL97" s="159">
        <v>35.6</v>
      </c>
      <c r="AM97" s="180">
        <v>1069</v>
      </c>
      <c r="AN97" s="89">
        <f t="shared" si="84"/>
        <v>60.480000000000004</v>
      </c>
      <c r="AO97" s="89">
        <f t="shared" si="85"/>
        <v>23.363095238095237</v>
      </c>
      <c r="AP97" s="76">
        <v>552</v>
      </c>
      <c r="AQ97" s="76">
        <f t="shared" si="82"/>
        <v>70953.206250000017</v>
      </c>
      <c r="AR97" s="72">
        <f t="shared" si="86"/>
        <v>482.77500000000873</v>
      </c>
      <c r="AS97" s="161">
        <f t="shared" si="87"/>
        <v>20.115625000000364</v>
      </c>
      <c r="AT97" s="72">
        <f>AR97/(AN97*(AVERAGE(D$70,D$71,D$63,D$85,D$86,D$92,D$93,D$67,D$78,D$81))*AVERAGE(E$70,E$71,E$63,E$85,E$86,E$92,E$93,E$67,E$78,E$81)*0.0001)</f>
        <v>334.70646862484773</v>
      </c>
      <c r="AU97" s="85"/>
      <c r="AV97" s="143">
        <f>AR97/(AN97*AVERAGE(D$70,D$71,D$63,D$85,D$86,D$92,D$93,D$67,D$78,D$81)*0.01)</f>
        <v>256.17428989139972</v>
      </c>
      <c r="AW97" s="433">
        <f t="shared" si="88"/>
        <v>0.34166666666667284</v>
      </c>
      <c r="AX97" s="66"/>
      <c r="AY97" s="66"/>
      <c r="AZ97" s="66"/>
      <c r="BA97" s="66"/>
      <c r="BB97" s="66"/>
      <c r="BC97" s="196"/>
      <c r="BD97" s="64"/>
      <c r="BE97" s="147"/>
      <c r="BF97" s="86"/>
      <c r="BG97" s="65"/>
      <c r="BH97" s="66"/>
      <c r="BI97" s="76"/>
      <c r="BJ97" s="66"/>
      <c r="BK97" s="76"/>
      <c r="BL97" s="86"/>
      <c r="BM97" s="86"/>
      <c r="BN97" s="63"/>
      <c r="BO97" s="93"/>
      <c r="BP97" s="83"/>
      <c r="BQ97" s="88"/>
      <c r="BR97" s="85"/>
      <c r="BS97" s="194"/>
      <c r="BT97" s="75"/>
      <c r="BU97" s="179"/>
      <c r="BV97" s="65"/>
      <c r="BW97" s="66">
        <v>51.1</v>
      </c>
      <c r="BX97" s="66">
        <v>519</v>
      </c>
      <c r="BY97" s="443">
        <f t="shared" si="89"/>
        <v>42</v>
      </c>
      <c r="BZ97" s="443">
        <f t="shared" si="90"/>
        <v>17.761904761904763</v>
      </c>
      <c r="CA97" s="66">
        <v>234</v>
      </c>
      <c r="CB97" s="72">
        <f t="shared" si="81"/>
        <v>33685.331250000003</v>
      </c>
      <c r="CC97" s="289">
        <f t="shared" si="91"/>
        <v>490.625</v>
      </c>
      <c r="CD97" s="289">
        <f t="shared" si="92"/>
        <v>20.442708333333332</v>
      </c>
      <c r="CE97" s="72">
        <f>CC97/(BY97*(AVERAGE(D$70,D$71,D$63,D$85,D$86,D$92,D$93,D$67,D$78,D$81))*AVERAGE(EE$70,E$71,E$63,E$85,E$86,E$92,E$93,E$67,E$78,E$81)*0.0001)</f>
        <v>489.61745475642977</v>
      </c>
      <c r="CF97" s="161"/>
      <c r="CG97" s="72">
        <f>CC97/(BY97*AVERAGE((D$70,D$71,D$63,D$85,D$86,D$92,D$93,D$67,D$78,D$81))*0.01)</f>
        <v>374.88920471911484</v>
      </c>
      <c r="CH97" s="433">
        <f t="shared" si="93"/>
        <v>0.6576742627345844</v>
      </c>
      <c r="CI97" s="66"/>
      <c r="CJ97" s="66"/>
      <c r="CK97" s="66"/>
      <c r="CL97" s="66"/>
      <c r="CM97" s="66"/>
      <c r="CN97" s="111"/>
    </row>
    <row r="98" spans="1:92">
      <c r="A98" s="141">
        <f t="shared" si="73"/>
        <v>41253</v>
      </c>
      <c r="B98" s="307">
        <f t="shared" si="83"/>
        <v>0.33333333333333331</v>
      </c>
      <c r="C98" s="304">
        <f t="shared" si="79"/>
        <v>24</v>
      </c>
      <c r="D98" s="65"/>
      <c r="E98" s="66"/>
      <c r="F98" s="66"/>
      <c r="G98" s="66"/>
      <c r="H98" s="66"/>
      <c r="I98" s="66"/>
      <c r="J98" s="86"/>
      <c r="K98" s="86"/>
      <c r="L98" s="63"/>
      <c r="M98" s="86"/>
      <c r="N98" s="66"/>
      <c r="O98" s="261"/>
      <c r="P98" s="465"/>
      <c r="Q98" s="465"/>
      <c r="R98" s="465"/>
      <c r="S98" s="86"/>
      <c r="T98" s="86"/>
      <c r="U98" s="86"/>
      <c r="V98" s="65"/>
      <c r="W98" s="66"/>
      <c r="X98" s="66"/>
      <c r="Y98" s="66"/>
      <c r="Z98" s="66"/>
      <c r="AA98" s="86"/>
      <c r="AB98" s="86"/>
      <c r="AC98" s="63"/>
      <c r="AD98" s="87"/>
      <c r="AE98" s="87"/>
      <c r="AF98" s="87"/>
      <c r="AG98" s="66"/>
      <c r="AH98" s="66"/>
      <c r="AI98" s="87"/>
      <c r="AJ98" s="63"/>
      <c r="AK98" s="180"/>
      <c r="AL98" s="159">
        <v>35.6</v>
      </c>
      <c r="AM98" s="180">
        <v>1100</v>
      </c>
      <c r="AN98" s="89">
        <f t="shared" si="84"/>
        <v>66.960000000000008</v>
      </c>
      <c r="AO98" s="89">
        <f t="shared" si="85"/>
        <v>21.102150537634405</v>
      </c>
      <c r="AP98" s="76">
        <v>564</v>
      </c>
      <c r="AQ98" s="76">
        <f t="shared" si="82"/>
        <v>71677.368750000009</v>
      </c>
      <c r="AR98" s="72">
        <f t="shared" si="86"/>
        <v>724.16249999999127</v>
      </c>
      <c r="AS98" s="161">
        <f t="shared" si="87"/>
        <v>30.173437499999636</v>
      </c>
      <c r="AT98" s="72">
        <f>AR98/(AN98*(AVERAGE(D$70,D$71,D$63,D$85,D$86,D$92,D$93,D$67,D$78,D$81))*AVERAGE(E$70,E$71,E$63,E$85,E$86,E$92,E$93,E$67,E$78,E$81)*0.0001)</f>
        <v>453.47328007236069</v>
      </c>
      <c r="AU98" s="180"/>
      <c r="AV98" s="143">
        <f>AR98/(AN98*AVERAGE(D$70,D$71,D$63,D$85,D$86,D$92,D$93,D$67,D$78,D$81)*0.01)</f>
        <v>347.07484436898278</v>
      </c>
      <c r="AW98" s="433">
        <f t="shared" si="88"/>
        <v>0.51249999999999385</v>
      </c>
      <c r="AX98" s="66"/>
      <c r="AY98" s="66"/>
      <c r="AZ98" s="66"/>
      <c r="BA98" s="66"/>
      <c r="BB98" s="66"/>
      <c r="BC98" s="197"/>
      <c r="BD98" s="64"/>
      <c r="BE98" s="147"/>
      <c r="BF98" s="86"/>
      <c r="BG98" s="65"/>
      <c r="BH98" s="66"/>
      <c r="BI98" s="66"/>
      <c r="BJ98" s="66"/>
      <c r="BK98" s="66"/>
      <c r="BL98" s="86"/>
      <c r="BM98" s="86"/>
      <c r="BN98" s="63"/>
      <c r="BO98" s="87"/>
      <c r="BP98" s="87"/>
      <c r="BQ98" s="87"/>
      <c r="BR98" s="66"/>
      <c r="BS98" s="64"/>
      <c r="BT98" s="66"/>
      <c r="BU98" s="67"/>
      <c r="BV98" s="65"/>
      <c r="BW98" s="66">
        <v>51.1</v>
      </c>
      <c r="BX98" s="66">
        <v>521</v>
      </c>
      <c r="BY98" s="443"/>
      <c r="BZ98" s="443"/>
      <c r="CA98" s="66">
        <v>243</v>
      </c>
      <c r="CB98" s="72">
        <f t="shared" si="81"/>
        <v>34237.284375000003</v>
      </c>
      <c r="CC98" s="289">
        <f t="shared" si="91"/>
        <v>551.953125</v>
      </c>
      <c r="CD98" s="289">
        <f t="shared" si="92"/>
        <v>22.998046875</v>
      </c>
      <c r="CE98" s="72"/>
      <c r="CF98" s="66"/>
      <c r="CG98" s="72"/>
      <c r="CH98" s="433">
        <f t="shared" si="93"/>
        <v>0.73988354557640745</v>
      </c>
      <c r="CI98" s="66"/>
      <c r="CJ98" s="66"/>
      <c r="CK98" s="66"/>
      <c r="CL98" s="66"/>
      <c r="CM98" s="66"/>
      <c r="CN98" s="117"/>
    </row>
    <row r="99" spans="1:92" s="337" customFormat="1">
      <c r="A99" s="309">
        <f t="shared" si="73"/>
        <v>41254</v>
      </c>
      <c r="B99" s="307">
        <f t="shared" si="83"/>
        <v>0.33333333333333331</v>
      </c>
      <c r="C99" s="304">
        <f t="shared" si="79"/>
        <v>24</v>
      </c>
      <c r="D99" s="318">
        <v>3.5</v>
      </c>
      <c r="E99" s="319">
        <v>75.5</v>
      </c>
      <c r="F99" s="348">
        <v>38900</v>
      </c>
      <c r="G99" s="319"/>
      <c r="H99" s="319">
        <v>34.6</v>
      </c>
      <c r="I99" s="348">
        <v>3453</v>
      </c>
      <c r="J99" s="317">
        <v>1541</v>
      </c>
      <c r="K99" s="317">
        <v>29.6</v>
      </c>
      <c r="L99" s="320">
        <v>263</v>
      </c>
      <c r="M99" s="317"/>
      <c r="N99" s="319"/>
      <c r="O99" s="316"/>
      <c r="P99" s="465"/>
      <c r="Q99" s="465"/>
      <c r="R99" s="465"/>
      <c r="S99" s="317"/>
      <c r="T99" s="317"/>
      <c r="U99" s="317"/>
      <c r="V99" s="318">
        <v>2.1</v>
      </c>
      <c r="W99" s="319">
        <v>64</v>
      </c>
      <c r="X99" s="348">
        <v>26100</v>
      </c>
      <c r="Y99" s="319">
        <v>30.8</v>
      </c>
      <c r="Z99" s="319">
        <v>826</v>
      </c>
      <c r="AA99" s="317">
        <v>173</v>
      </c>
      <c r="AB99" s="317">
        <v>58.6</v>
      </c>
      <c r="AC99" s="320">
        <v>183</v>
      </c>
      <c r="AD99" s="391">
        <f>D93*(100-E93)/(100-W99)</f>
        <v>1.9833000000000007</v>
      </c>
      <c r="AE99" s="387">
        <f>D93-V99</f>
        <v>0.87000000000000011</v>
      </c>
      <c r="AF99" s="393">
        <f>100*(AVERAGE(D92,D93,D85,D86,D78,D81,D71,D70)-V99)/AVERAGE(D92,D93,D85,D86,D78,D81,D71,D70)</f>
        <v>32.176019378280174</v>
      </c>
      <c r="AG99" s="393">
        <f>100*(1-((100-AVERAGE(E92,E93,E85,E86,E78,E81,E71,E70,E67))/(100-W99)))</f>
        <v>34.97222222222215</v>
      </c>
      <c r="AH99" s="387">
        <f>E93-W99</f>
        <v>11.959999999999994</v>
      </c>
      <c r="AI99" s="393">
        <f>100*(1-((V99*W99)/(AVERAGE(D92,D93,D85,D86,D78,D81,D71,D70,D67)*AVERAGE(E92,E93,E85,E86,E78,E81,E71,E70,E67))))</f>
        <v>43.332671371235485</v>
      </c>
      <c r="AJ99" s="389">
        <f>100*100*((AVERAGE(E92,E93,E85,E86,E78,E81,E71,E70,E67)-W99)/((100-W99)*AVERAGE(E92,E93,E85,E86,E78,E81,E71,E70,E67)))</f>
        <v>45.661603632618061</v>
      </c>
      <c r="AK99" s="441"/>
      <c r="AL99" s="462">
        <v>35.6</v>
      </c>
      <c r="AM99" s="441">
        <v>1128</v>
      </c>
      <c r="AN99" s="89">
        <f t="shared" si="84"/>
        <v>60.480000000000004</v>
      </c>
      <c r="AO99" s="89">
        <f t="shared" si="85"/>
        <v>23.363095238095237</v>
      </c>
      <c r="AP99" s="348">
        <v>571</v>
      </c>
      <c r="AQ99" s="348">
        <f t="shared" si="82"/>
        <v>72099.796875</v>
      </c>
      <c r="AR99" s="72">
        <f t="shared" si="86"/>
        <v>422.42812499999127</v>
      </c>
      <c r="AS99" s="161">
        <f t="shared" si="87"/>
        <v>17.601171874999636</v>
      </c>
      <c r="AT99" s="72">
        <f>AR99/(AN99*(AVERAGE(D$70,D$71,D$63,D$85,D$86,D$92,D$93,D$67,D$78,D$81))*AVERAGE(E$70,E$71,E$63,E$85,E$86,E$92,E$93,E$67,E$78,E$81)*0.0001)</f>
        <v>292.8681600467304</v>
      </c>
      <c r="AU99" s="313">
        <f>(AQ99-AQ70)/(AVERAGE(AN70:AN99)*((AVERAGE(D99,D93,D92,D86,D85,D81,D70,D78,D71)*AVERAGE(E99,E93,E92,E86,E85,E81,E70,E78,E71))-(V99*W99))*0.0001*(SUM(C70:C99)/24))</f>
        <v>1254.359183149005</v>
      </c>
      <c r="AV99" s="143">
        <f>AR99/(AN99*AVERAGE(D$70,D$71,D$63,D$85,D$86,D$92,D$93,D$67,D$78,D$81)*0.01)</f>
        <v>224.1525036549661</v>
      </c>
      <c r="AW99" s="433">
        <f t="shared" si="88"/>
        <v>0.29895833333332716</v>
      </c>
      <c r="AX99" s="319"/>
      <c r="AY99" s="319"/>
      <c r="AZ99" s="319"/>
      <c r="BA99" s="319"/>
      <c r="BB99" s="319"/>
      <c r="BC99" s="320"/>
      <c r="BD99" s="368"/>
      <c r="BE99" s="330"/>
      <c r="BF99" s="317"/>
      <c r="BG99" s="318">
        <v>2.1</v>
      </c>
      <c r="BH99" s="319">
        <v>62.8</v>
      </c>
      <c r="BI99" s="348">
        <v>27900</v>
      </c>
      <c r="BJ99" s="319">
        <v>27.6</v>
      </c>
      <c r="BK99" s="348">
        <v>2612</v>
      </c>
      <c r="BL99" s="317">
        <v>455</v>
      </c>
      <c r="BM99" s="317">
        <v>70.599999999999994</v>
      </c>
      <c r="BN99" s="320">
        <v>132</v>
      </c>
      <c r="BO99" s="391">
        <f>D93*(100-E93)/(100-BH99)</f>
        <v>1.9193225806451617</v>
      </c>
      <c r="BP99" s="387">
        <f>D93-BG99</f>
        <v>0.87000000000000011</v>
      </c>
      <c r="BQ99" s="392">
        <f>100*(AVERAGE(D93,D86,D85,D92,D81,D71,D78,D70)-BG99)/AVERAGE(D93,D86,D85,D92,D81,D71,D78,D70)</f>
        <v>32.176019378280174</v>
      </c>
      <c r="BR99" s="393">
        <f>100*(1-((100-AVERAGE(E92,E93,E85,E81,E86,E71,E78,E70))/(100-BH99)))</f>
        <v>36.959005376344088</v>
      </c>
      <c r="BS99" s="387">
        <f>E93-BH99</f>
        <v>13.159999999999997</v>
      </c>
      <c r="BT99" s="392">
        <f>100*(1-((BG99*BH99)/(AVERAGE(D86,D93,D85,D92,D71,D81,D78,D70)*AVERAGE(E86,E92,E85,E93,E71,E81,E78,E70))))</f>
        <v>44.35773303882813</v>
      </c>
      <c r="BU99" s="389">
        <f>100*100*((AVERAGE(E86,E93,E85,E92,E81,E71,E78,E70)-BH99)/((100-BH99)*AVERAGE(E86,E93,E85,E92,E81,E71,E78,E70)))</f>
        <v>48.281657605570423</v>
      </c>
      <c r="BV99" s="318"/>
      <c r="BW99" s="319">
        <v>51.1</v>
      </c>
      <c r="BX99" s="319">
        <v>521</v>
      </c>
      <c r="BY99" s="443"/>
      <c r="BZ99" s="443"/>
      <c r="CA99" s="319">
        <v>245</v>
      </c>
      <c r="CB99" s="313">
        <f t="shared" si="81"/>
        <v>34359.940625000003</v>
      </c>
      <c r="CC99" s="289"/>
      <c r="CD99" s="289">
        <f t="shared" si="92"/>
        <v>5.110677083333333</v>
      </c>
      <c r="CE99" s="72"/>
      <c r="CF99" s="319"/>
      <c r="CG99" s="72"/>
      <c r="CH99" s="433"/>
      <c r="CI99" s="319"/>
      <c r="CJ99" s="319"/>
      <c r="CK99" s="319"/>
      <c r="CL99" s="319"/>
      <c r="CM99" s="319"/>
      <c r="CN99" s="442"/>
    </row>
    <row r="100" spans="1:92">
      <c r="A100" s="141">
        <f t="shared" si="73"/>
        <v>41255</v>
      </c>
      <c r="B100" s="307">
        <f t="shared" si="83"/>
        <v>0.33333333333333331</v>
      </c>
      <c r="C100" s="304">
        <f t="shared" si="79"/>
        <v>24</v>
      </c>
      <c r="D100" s="65"/>
      <c r="E100" s="66"/>
      <c r="F100" s="66"/>
      <c r="G100" s="66"/>
      <c r="H100" s="66"/>
      <c r="I100" s="66"/>
      <c r="J100" s="86"/>
      <c r="K100" s="86"/>
      <c r="L100" s="63"/>
      <c r="M100" s="86"/>
      <c r="N100" s="66"/>
      <c r="O100" s="261"/>
      <c r="P100" s="424"/>
      <c r="Q100" s="424"/>
      <c r="R100" s="424"/>
      <c r="S100" s="86"/>
      <c r="T100" s="86"/>
      <c r="U100" s="86"/>
      <c r="V100" s="65"/>
      <c r="W100" s="66"/>
      <c r="X100" s="66"/>
      <c r="Y100" s="66"/>
      <c r="Z100" s="66"/>
      <c r="AA100" s="86"/>
      <c r="AB100" s="86"/>
      <c r="AC100" s="63"/>
      <c r="AD100" s="87"/>
      <c r="AE100" s="87"/>
      <c r="AF100" s="87"/>
      <c r="AG100" s="66"/>
      <c r="AH100" s="66"/>
      <c r="AI100" s="87"/>
      <c r="AJ100" s="63"/>
      <c r="AK100" s="180"/>
      <c r="AL100" s="159">
        <v>35.700000000000003</v>
      </c>
      <c r="AM100" s="180">
        <v>1154</v>
      </c>
      <c r="AN100" s="89">
        <f t="shared" si="84"/>
        <v>56.160000000000004</v>
      </c>
      <c r="AO100" s="89">
        <f t="shared" si="85"/>
        <v>25.160256410256409</v>
      </c>
      <c r="AP100" s="76">
        <v>571</v>
      </c>
      <c r="AQ100" s="76">
        <f t="shared" si="82"/>
        <v>72099.796875</v>
      </c>
      <c r="AR100" s="72"/>
      <c r="AS100" s="161"/>
      <c r="AT100" s="72"/>
      <c r="AU100" s="180"/>
      <c r="AV100" s="143"/>
      <c r="AW100" s="433"/>
      <c r="AX100" s="66"/>
      <c r="AY100" s="66"/>
      <c r="AZ100" s="66"/>
      <c r="BA100" s="66"/>
      <c r="BB100" s="66"/>
      <c r="BC100" s="63"/>
      <c r="BD100" s="64"/>
      <c r="BE100" s="147"/>
      <c r="BF100" s="86"/>
      <c r="BG100" s="65"/>
      <c r="BH100" s="66"/>
      <c r="BI100" s="66"/>
      <c r="BJ100" s="66"/>
      <c r="BK100" s="66"/>
      <c r="BL100" s="86"/>
      <c r="BM100" s="86"/>
      <c r="BN100" s="63"/>
      <c r="BO100" s="87"/>
      <c r="BP100" s="87"/>
      <c r="BQ100" s="87"/>
      <c r="BR100" s="66"/>
      <c r="BS100" s="64"/>
      <c r="BT100" s="66"/>
      <c r="BU100" s="67"/>
      <c r="BV100" s="65"/>
      <c r="BW100" s="66">
        <v>51.1</v>
      </c>
      <c r="BX100" s="66">
        <v>548</v>
      </c>
      <c r="BY100" s="443">
        <f t="shared" si="89"/>
        <v>54</v>
      </c>
      <c r="BZ100" s="443">
        <f t="shared" si="90"/>
        <v>13.814814814814815</v>
      </c>
      <c r="CA100" s="66">
        <v>250</v>
      </c>
      <c r="CB100" s="72">
        <f t="shared" si="81"/>
        <v>34666.581250000003</v>
      </c>
      <c r="CC100" s="289">
        <f t="shared" si="91"/>
        <v>306.640625</v>
      </c>
      <c r="CD100" s="289">
        <f t="shared" si="92"/>
        <v>12.776692708333334</v>
      </c>
      <c r="CE100" s="72">
        <f>CC100/(BY100*(AVERAGE(D$70,D$71,D$63,D$85,D$86,D$92,D$93,D$67,D$78,D$81))*AVERAGE(EE$70,E$71,E$63,E$85,E$86,E$92,E$93,E$67,E$78,E$81)*0.0001)</f>
        <v>238.00848495104225</v>
      </c>
      <c r="CF100" s="66"/>
      <c r="CG100" s="72">
        <f>CC100/(BY100*AVERAGE((D$70,D$71,D$63,D$85,D$86,D$92,D$93,D$67,D$78,D$81))*0.01)</f>
        <v>182.23780784956972</v>
      </c>
      <c r="CH100" s="433">
        <f t="shared" si="93"/>
        <v>0.41104641420911531</v>
      </c>
      <c r="CI100" s="66"/>
      <c r="CJ100" s="66"/>
      <c r="CK100" s="66"/>
      <c r="CL100" s="66"/>
      <c r="CM100" s="66"/>
      <c r="CN100" s="110"/>
    </row>
    <row r="101" spans="1:92" s="337" customFormat="1" ht="42.75">
      <c r="A101" s="309">
        <f t="shared" si="73"/>
        <v>41256</v>
      </c>
      <c r="B101" s="307">
        <f t="shared" si="83"/>
        <v>0.33333333333333331</v>
      </c>
      <c r="C101" s="304">
        <f t="shared" si="79"/>
        <v>24</v>
      </c>
      <c r="D101" s="339">
        <v>3.12</v>
      </c>
      <c r="E101" s="365">
        <v>75.77</v>
      </c>
      <c r="F101" s="319"/>
      <c r="G101" s="365">
        <v>6.24</v>
      </c>
      <c r="H101" s="319"/>
      <c r="I101" s="319"/>
      <c r="J101" s="317"/>
      <c r="K101" s="317"/>
      <c r="L101" s="320"/>
      <c r="M101" s="317">
        <v>68</v>
      </c>
      <c r="N101" s="319"/>
      <c r="O101" s="316"/>
      <c r="P101" s="465"/>
      <c r="Q101" s="465"/>
      <c r="R101" s="465"/>
      <c r="S101" s="317"/>
      <c r="T101" s="317"/>
      <c r="U101" s="317"/>
      <c r="V101" s="339">
        <v>2.13</v>
      </c>
      <c r="W101" s="365">
        <v>64.75</v>
      </c>
      <c r="X101" s="319"/>
      <c r="Y101" s="319"/>
      <c r="Z101" s="319"/>
      <c r="AA101" s="317"/>
      <c r="AB101" s="317"/>
      <c r="AC101" s="320"/>
      <c r="AD101" s="391">
        <f>D99*(100-E99)/(100-W101)</f>
        <v>2.4326241134751774</v>
      </c>
      <c r="AE101" s="387">
        <f>D99-V101</f>
        <v>1.37</v>
      </c>
      <c r="AF101" s="393">
        <f>100*(AVERAGE(D93,D99,D86,D92,D81,D85,D78,D71,D70)-V101)/AVERAGE(D93,D99,D86,D92,D81,D85,D78,D71,D70)</f>
        <v>32.189600282985502</v>
      </c>
      <c r="AG101" s="393">
        <f>100*(1-((100-AVERAGE(E93,E99,E86,E92,E81,E85,E78,E71,E70,E67))/(100-W101)))</f>
        <v>33.279432624113461</v>
      </c>
      <c r="AH101" s="387">
        <f>E99-W101</f>
        <v>10.75</v>
      </c>
      <c r="AI101" s="393">
        <f>100*(1-((V101*W101)/(AVERAGE(D93,D99,D86,D92,D81,D85,D78,D71,D70)*AVERAGE(E93,E99,E86,E92,E81,E85,E78,E71,E70))))</f>
        <v>42.554026900972254</v>
      </c>
      <c r="AJ101" s="389">
        <f>100*100*((AVERAGE(E93,E99,E86,E92,E81,E85,E78,E71,E70)-W101)/((100-W101)*AVERAGE(E93,E99,E86,E92,E81,E85,E78,E71,E70)))</f>
        <v>43.360058082847452</v>
      </c>
      <c r="AK101" s="483">
        <v>7.08</v>
      </c>
      <c r="AL101" s="365">
        <v>34.299999999999997</v>
      </c>
      <c r="AM101" s="441">
        <v>1184</v>
      </c>
      <c r="AN101" s="89">
        <f t="shared" si="84"/>
        <v>64.800000000000011</v>
      </c>
      <c r="AO101" s="89">
        <f t="shared" si="85"/>
        <v>21.80555555555555</v>
      </c>
      <c r="AP101" s="348">
        <v>572</v>
      </c>
      <c r="AQ101" s="76">
        <f t="shared" si="82"/>
        <v>72160.143750000017</v>
      </c>
      <c r="AR101" s="72">
        <f t="shared" si="86"/>
        <v>60.346875000017462</v>
      </c>
      <c r="AS101" s="161">
        <f t="shared" si="87"/>
        <v>2.5144531250007276</v>
      </c>
      <c r="AT101" s="72"/>
      <c r="AU101" s="313">
        <f>(AQ101-AQ72)/(AVERAGE(AN72:AN101)*((AVERAGE(D101,D99,D93,D92,D86,D85,D71,D81,D78)*AVERAGE(E101,E99,E93,E92,E86,E85,E71,E81,E78))-(V101*W101))*0.0001*(SUM(C72:C101)/24))</f>
        <v>1204.4892287432635</v>
      </c>
      <c r="AV101" s="143"/>
      <c r="AW101" s="433"/>
      <c r="AX101" s="319">
        <v>69.2</v>
      </c>
      <c r="AY101" s="319">
        <v>30.4</v>
      </c>
      <c r="AZ101" s="319">
        <v>0</v>
      </c>
      <c r="BA101" s="319">
        <v>15</v>
      </c>
      <c r="BB101" s="319">
        <v>50</v>
      </c>
      <c r="BC101" s="415" t="s">
        <v>121</v>
      </c>
      <c r="BD101" s="368"/>
      <c r="BE101" s="330"/>
      <c r="BF101" s="317"/>
      <c r="BG101" s="339">
        <v>2.11</v>
      </c>
      <c r="BH101" s="365">
        <v>64.680000000000007</v>
      </c>
      <c r="BI101" s="319"/>
      <c r="BJ101" s="319"/>
      <c r="BK101" s="319"/>
      <c r="BL101" s="317"/>
      <c r="BM101" s="317"/>
      <c r="BN101" s="320"/>
      <c r="BO101" s="391">
        <f>D99*(100-E99)/(100-BH101)</f>
        <v>2.4278029445073619</v>
      </c>
      <c r="BP101" s="387">
        <f>D99-BG101</f>
        <v>1.3900000000000001</v>
      </c>
      <c r="BQ101" s="392">
        <f>100*(AVERAGE(D99,D92,D86,D93,D85,D78,D81,D71)-BG101)/AVERAGE(D99,D92,D86,D93,D85,D78,D81,D71)</f>
        <v>32.614770459081846</v>
      </c>
      <c r="BR101" s="393">
        <f>100*(1-((100-AVERAGE(E93,E99,E86,E85,E92,E78,E81,E71))/(100-BH101)))</f>
        <v>33.334513023782542</v>
      </c>
      <c r="BS101" s="387">
        <f>E99-BH101</f>
        <v>10.819999999999993</v>
      </c>
      <c r="BT101" s="392">
        <f>100*(1-((BG101*BH101)/(AVERAGE(D92,D99,D86,D93,D78,D85,D81,D71)*AVERAGE(E92,E93,E86,E99,E78,E85,E81,E71))))</f>
        <v>42.991983431727185</v>
      </c>
      <c r="BU101" s="389">
        <f>100*100*((AVERAGE(E92,E99,E86,E93,E85,E78,E81,E71)-BH101)/((100-BH101)*AVERAGE(E92,E99,E86,E93,E85,E78,E81,E71)))</f>
        <v>43.600886841760648</v>
      </c>
      <c r="BV101" s="318">
        <v>7.3</v>
      </c>
      <c r="BW101" s="470">
        <v>47.5</v>
      </c>
      <c r="BX101" s="319">
        <v>566</v>
      </c>
      <c r="BY101" s="443">
        <f t="shared" si="89"/>
        <v>36</v>
      </c>
      <c r="BZ101" s="443">
        <f t="shared" si="90"/>
        <v>20.722222222222221</v>
      </c>
      <c r="CA101" s="319">
        <v>257</v>
      </c>
      <c r="CB101" s="313">
        <f t="shared" si="81"/>
        <v>35095.878125000003</v>
      </c>
      <c r="CC101" s="289">
        <f t="shared" si="91"/>
        <v>429.296875</v>
      </c>
      <c r="CD101" s="289">
        <f t="shared" si="92"/>
        <v>17.887369791666668</v>
      </c>
      <c r="CE101" s="72">
        <f>CC101/(BY101*(AVERAGE(D$70,D$71,D$63,D$85,D$86,D$92,D$93,D$67,D$78,D$81))*AVERAGE(EE$70,E$71,E$63,E$85,E$86,E$92,E$93,E$67,E$78,E$81)*0.0001)</f>
        <v>499.81781839718877</v>
      </c>
      <c r="CF101" s="313">
        <f>(CB101-CB72)/(AVERAGE(BY72:BY101)*((AVERAGE(D101,D99,D93,D92,D86,D85,D71,D81,D78)*AVERAGE(E101,E99,E93,E92,E86,E85,E71,E81,E78))-(BG101*BH101))*0.0001*(SUM(C72:C101)/24))</f>
        <v>1156.050230384104</v>
      </c>
      <c r="CG101" s="72">
        <f>CC101/(BY101*AVERAGE((D$70,D$71,D$63,D$85,D$86,D$92,D$93,D$67,D$78,D$81))*0.01)</f>
        <v>382.69939648409638</v>
      </c>
      <c r="CH101" s="433">
        <f t="shared" si="93"/>
        <v>0.57546497989276135</v>
      </c>
      <c r="CI101" s="319">
        <v>67.099999999999994</v>
      </c>
      <c r="CJ101" s="319">
        <v>28.5</v>
      </c>
      <c r="CK101" s="319">
        <v>0</v>
      </c>
      <c r="CL101" s="319">
        <v>29</v>
      </c>
      <c r="CM101" s="319">
        <v>110</v>
      </c>
      <c r="CN101" s="442" t="s">
        <v>123</v>
      </c>
    </row>
    <row r="102" spans="1:92">
      <c r="A102" s="141">
        <f t="shared" si="73"/>
        <v>41257</v>
      </c>
      <c r="B102" s="307">
        <f t="shared" si="83"/>
        <v>0.33333333333333331</v>
      </c>
      <c r="C102" s="304">
        <f t="shared" si="79"/>
        <v>24</v>
      </c>
      <c r="D102" s="65"/>
      <c r="E102" s="66"/>
      <c r="F102" s="66"/>
      <c r="G102" s="66"/>
      <c r="H102" s="66"/>
      <c r="I102" s="66"/>
      <c r="J102" s="86"/>
      <c r="K102" s="86"/>
      <c r="L102" s="63"/>
      <c r="M102" s="86"/>
      <c r="N102" s="66"/>
      <c r="O102" s="261"/>
      <c r="P102" s="465"/>
      <c r="Q102" s="465"/>
      <c r="R102" s="465"/>
      <c r="S102" s="86"/>
      <c r="T102" s="86"/>
      <c r="U102" s="86"/>
      <c r="V102" s="65"/>
      <c r="W102" s="66"/>
      <c r="X102" s="66"/>
      <c r="Y102" s="66"/>
      <c r="Z102" s="66"/>
      <c r="AA102" s="86"/>
      <c r="AB102" s="86"/>
      <c r="AC102" s="63"/>
      <c r="AD102" s="87"/>
      <c r="AE102" s="87"/>
      <c r="AF102" s="87"/>
      <c r="AG102" s="66"/>
      <c r="AH102" s="66"/>
      <c r="AI102" s="87"/>
      <c r="AJ102" s="63"/>
      <c r="AK102" s="180"/>
      <c r="AL102" s="159">
        <v>35.700000000000003</v>
      </c>
      <c r="AM102" s="180">
        <v>1212</v>
      </c>
      <c r="AN102" s="89">
        <f>(AM102-AM101)*AQ$1/((C102)/24)</f>
        <v>60.480000000000004</v>
      </c>
      <c r="AO102" s="89">
        <f>AQ$3/AN102</f>
        <v>23.363095238095237</v>
      </c>
      <c r="AP102" s="76">
        <v>582</v>
      </c>
      <c r="AQ102" s="76">
        <f t="shared" si="82"/>
        <v>72763.612500000017</v>
      </c>
      <c r="AR102" s="72">
        <f>(AQ102-AQ101)/(C102/24)</f>
        <v>603.46875</v>
      </c>
      <c r="AS102" s="161">
        <f>(AQ102-AQ101)/C102</f>
        <v>25.14453125</v>
      </c>
      <c r="AT102" s="72">
        <f>AR102/(AN102*(AVERAGE(D$70,D$71,D$99,D$85,D$86,D$92,D$93,D$100,D$78,D$81))*AVERAGE(E$70,E$71,E$99,E$85,E$86,E$92,E$93,E$100,E$78,E$81)*0.0001)</f>
        <v>415.60734801348127</v>
      </c>
      <c r="AU102" s="180"/>
      <c r="AV102" s="143">
        <f>AR102/(AN102*AVERAGE(D$70,D$71,D$99,D$85,D$86,D$92,D$93,D$100,D$78,D$81)*0.01)</f>
        <v>317.65793180554851</v>
      </c>
      <c r="AW102" s="433">
        <f t="shared" si="88"/>
        <v>0.42708333333333331</v>
      </c>
      <c r="AX102" s="66"/>
      <c r="AY102" s="66"/>
      <c r="AZ102" s="66"/>
      <c r="BA102" s="66"/>
      <c r="BB102" s="66"/>
      <c r="BC102" s="63"/>
      <c r="BD102" s="64"/>
      <c r="BE102" s="147"/>
      <c r="BF102" s="86"/>
      <c r="BG102" s="65"/>
      <c r="BH102" s="66"/>
      <c r="BI102" s="66"/>
      <c r="BJ102" s="66"/>
      <c r="BK102" s="66"/>
      <c r="BL102" s="86"/>
      <c r="BM102" s="86"/>
      <c r="BN102" s="63"/>
      <c r="BO102" s="87"/>
      <c r="BP102" s="87"/>
      <c r="BQ102" s="87"/>
      <c r="BR102" s="66"/>
      <c r="BS102" s="64"/>
      <c r="BT102" s="66"/>
      <c r="BU102" s="67"/>
      <c r="BV102" s="65"/>
      <c r="BW102" s="66">
        <v>51.1</v>
      </c>
      <c r="BX102" s="66">
        <v>589</v>
      </c>
      <c r="BY102" s="443">
        <f>(BX102-BX101)*CB$1/((C102)/24)</f>
        <v>46</v>
      </c>
      <c r="BZ102" s="443">
        <f>CB$3/BY102</f>
        <v>16.217391304347824</v>
      </c>
      <c r="CA102" s="66">
        <v>265</v>
      </c>
      <c r="CB102" s="72">
        <f t="shared" si="81"/>
        <v>35586.503125000003</v>
      </c>
      <c r="CC102" s="289">
        <f>(CB102-CB101)/((C102/24))</f>
        <v>490.625</v>
      </c>
      <c r="CD102" s="289">
        <f>(CB102-CB101)/(C102)</f>
        <v>20.442708333333332</v>
      </c>
      <c r="CE102" s="72">
        <f>CC102/(BY102*(AVERAGE(D$70,D$71,D$99,D$85,D$86,D$92,D$93,D$100,D$78,D$81))*AVERAGE(E$70,E$71,E$99,E$85,E$86,E$92,E$93,E$100,E$78,E$81)*0.0001)</f>
        <v>444.25472619044439</v>
      </c>
      <c r="CF102" s="66"/>
      <c r="CG102" s="72">
        <f>CC102/(BY102*AVERAGE((D$70,D$71,D$99,D$85,D$86,D$92,D$93,D$100,D$78,D$81))*0.01)</f>
        <v>339.55375955460545</v>
      </c>
      <c r="CH102" s="433">
        <f t="shared" si="93"/>
        <v>0.6576742627345844</v>
      </c>
      <c r="CI102" s="66"/>
      <c r="CJ102" s="66"/>
      <c r="CK102" s="66"/>
      <c r="CL102" s="66"/>
      <c r="CM102" s="66"/>
      <c r="CN102" s="110"/>
    </row>
    <row r="103" spans="1:92">
      <c r="A103" s="141">
        <f t="shared" si="73"/>
        <v>41258</v>
      </c>
      <c r="B103" s="307">
        <f t="shared" si="83"/>
        <v>0.33333333333333331</v>
      </c>
      <c r="C103" s="304">
        <f t="shared" si="79"/>
        <v>24</v>
      </c>
      <c r="D103" s="65"/>
      <c r="E103" s="66"/>
      <c r="F103" s="66"/>
      <c r="G103" s="66"/>
      <c r="H103" s="66"/>
      <c r="I103" s="66"/>
      <c r="J103" s="86"/>
      <c r="K103" s="86"/>
      <c r="L103" s="63"/>
      <c r="M103" s="86"/>
      <c r="N103" s="66"/>
      <c r="O103" s="261"/>
      <c r="P103" s="465"/>
      <c r="Q103" s="465"/>
      <c r="R103" s="465"/>
      <c r="S103" s="86"/>
      <c r="T103" s="86"/>
      <c r="U103" s="86"/>
      <c r="V103" s="65"/>
      <c r="W103" s="66"/>
      <c r="X103" s="66"/>
      <c r="Y103" s="66"/>
      <c r="Z103" s="66"/>
      <c r="AA103" s="86"/>
      <c r="AB103" s="86"/>
      <c r="AC103" s="63"/>
      <c r="AD103" s="87"/>
      <c r="AE103" s="87"/>
      <c r="AF103" s="87"/>
      <c r="AG103" s="66"/>
      <c r="AH103" s="66"/>
      <c r="AI103" s="87"/>
      <c r="AJ103" s="63"/>
      <c r="AK103" s="180"/>
      <c r="AL103" s="159">
        <v>35.6</v>
      </c>
      <c r="AM103" s="180">
        <v>1241</v>
      </c>
      <c r="AN103" s="89">
        <f>(AM103-AM102)*AQ$1/((C103)/24)</f>
        <v>62.64</v>
      </c>
      <c r="AO103" s="89">
        <f>AQ$3/AN103</f>
        <v>22.557471264367816</v>
      </c>
      <c r="AP103" s="76">
        <v>592</v>
      </c>
      <c r="AQ103" s="76">
        <f t="shared" si="82"/>
        <v>73367.081250000017</v>
      </c>
      <c r="AR103" s="72">
        <f>(AQ103-AQ102)/(C103/24)</f>
        <v>603.46875</v>
      </c>
      <c r="AS103" s="161">
        <f>(AQ103-AQ102)/C103</f>
        <v>25.14453125</v>
      </c>
      <c r="AT103" s="72">
        <f>AR103/(AN103*(AVERAGE(D$70,D$71,D$99,D$85,D$86,D$92,D$93,D$100,D$78,D$81))*AVERAGE(E$70,E$71,E$99,E$85,E$86,E$92,E$93,E$100,E$78,E$81)*0.0001)</f>
        <v>401.27606015094739</v>
      </c>
      <c r="AU103" s="180"/>
      <c r="AV103" s="143">
        <f>AR103/(AN103*AVERAGE(D$70,D$71,D$99,D$85,D$86,D$92,D$93,D$100,D$78,D$81)*0.01)</f>
        <v>306.70421001915031</v>
      </c>
      <c r="AW103" s="433">
        <f>AR103/AQ$3</f>
        <v>0.42708333333333331</v>
      </c>
      <c r="AX103" s="66"/>
      <c r="AY103" s="66"/>
      <c r="AZ103" s="66"/>
      <c r="BA103" s="66"/>
      <c r="BB103" s="66"/>
      <c r="BC103" s="63"/>
      <c r="BD103" s="64"/>
      <c r="BE103" s="147"/>
      <c r="BF103" s="86"/>
      <c r="BG103" s="65"/>
      <c r="BH103" s="66"/>
      <c r="BI103" s="66"/>
      <c r="BJ103" s="66"/>
      <c r="BK103" s="66"/>
      <c r="BL103" s="86"/>
      <c r="BM103" s="86"/>
      <c r="BN103" s="63"/>
      <c r="BO103" s="87"/>
      <c r="BP103" s="87"/>
      <c r="BQ103" s="87"/>
      <c r="BR103" s="66"/>
      <c r="BS103" s="64"/>
      <c r="BT103" s="66"/>
      <c r="BU103" s="67"/>
      <c r="BV103" s="65"/>
      <c r="BW103" s="66">
        <v>51.1</v>
      </c>
      <c r="BX103" s="66">
        <v>609</v>
      </c>
      <c r="BY103" s="443">
        <f>(BX103-BX102)*CB$1/((C103)/24)</f>
        <v>40</v>
      </c>
      <c r="BZ103" s="443">
        <f>CB$3/BY103</f>
        <v>18.649999999999999</v>
      </c>
      <c r="CA103" s="66">
        <v>271</v>
      </c>
      <c r="CB103" s="72">
        <f t="shared" si="81"/>
        <v>35954.471875000003</v>
      </c>
      <c r="CC103" s="289">
        <f>(CB103-CB102)/((C103/24))</f>
        <v>367.96875</v>
      </c>
      <c r="CD103" s="289">
        <f>(CB103-CB102)/(C103)</f>
        <v>15.33203125</v>
      </c>
      <c r="CE103" s="72">
        <f>CC103/(BY103*(AVERAGE(D$70,D$71,D$99,D$85,D$86,D$92,D$93,D$100,D$78,D$81))*AVERAGE(E$70,E$71,E$99,E$85,E$86,E$92,E$93,E$100,E$78,E$81)*0.0001)</f>
        <v>383.16970133925832</v>
      </c>
      <c r="CF103" s="66"/>
      <c r="CG103" s="72">
        <f>CC103/(BY103*AVERAGE((D$70,D$71,D$99,D$85,D$86,D$92,D$93,D$100,D$78,D$81))*0.01)</f>
        <v>292.86511761584717</v>
      </c>
      <c r="CH103" s="433">
        <f t="shared" si="93"/>
        <v>0.49325569705093836</v>
      </c>
      <c r="CI103" s="66"/>
      <c r="CJ103" s="66"/>
      <c r="CK103" s="66"/>
      <c r="CL103" s="66"/>
      <c r="CM103" s="66"/>
      <c r="CN103" s="110"/>
    </row>
    <row r="104" spans="1:92">
      <c r="A104" s="141">
        <f t="shared" si="73"/>
        <v>41259</v>
      </c>
      <c r="B104" s="307">
        <f t="shared" si="83"/>
        <v>0.33333333333333331</v>
      </c>
      <c r="C104" s="304">
        <f t="shared" si="79"/>
        <v>24</v>
      </c>
      <c r="D104" s="65"/>
      <c r="E104" s="66"/>
      <c r="F104" s="66"/>
      <c r="G104" s="66"/>
      <c r="H104" s="66"/>
      <c r="I104" s="66"/>
      <c r="J104" s="86"/>
      <c r="K104" s="86"/>
      <c r="L104" s="63"/>
      <c r="M104" s="86"/>
      <c r="N104" s="66"/>
      <c r="O104" s="261"/>
      <c r="P104" s="465"/>
      <c r="Q104" s="465"/>
      <c r="R104" s="465"/>
      <c r="S104" s="86"/>
      <c r="T104" s="86"/>
      <c r="U104" s="86"/>
      <c r="V104" s="65"/>
      <c r="W104" s="66"/>
      <c r="X104" s="66"/>
      <c r="Y104" s="66"/>
      <c r="Z104" s="66"/>
      <c r="AA104" s="86"/>
      <c r="AB104" s="86"/>
      <c r="AC104" s="63"/>
      <c r="AD104" s="87"/>
      <c r="AE104" s="87"/>
      <c r="AF104" s="87"/>
      <c r="AG104" s="66"/>
      <c r="AH104" s="66"/>
      <c r="AI104" s="87"/>
      <c r="AJ104" s="63"/>
      <c r="AK104" s="180"/>
      <c r="AL104" s="159">
        <v>35.6</v>
      </c>
      <c r="AM104" s="180">
        <v>1269</v>
      </c>
      <c r="AN104" s="89">
        <f>(AM104-AM103)*AQ$1/((C104)/24)</f>
        <v>60.480000000000004</v>
      </c>
      <c r="AO104" s="89">
        <f>AQ$3/AN104</f>
        <v>23.363095238095237</v>
      </c>
      <c r="AP104" s="76">
        <v>601</v>
      </c>
      <c r="AQ104" s="76">
        <f t="shared" si="82"/>
        <v>73910.203125</v>
      </c>
      <c r="AR104" s="72">
        <f>(AQ104-AQ103)/(C104/24)</f>
        <v>543.12187499998254</v>
      </c>
      <c r="AS104" s="161">
        <f>(AQ104-AQ103)/C104</f>
        <v>22.630078124999272</v>
      </c>
      <c r="AT104" s="72">
        <f>AR104/(AN104*(AVERAGE(D$70,D$71,D$99,D$85,D$86,D$92,D$93,D$100,D$78,D$81))*AVERAGE(E$70,E$71,E$99,E$85,E$86,E$92,E$93,E$100,E$78,E$81)*0.0001)</f>
        <v>374.04661321212114</v>
      </c>
      <c r="AU104" s="180"/>
      <c r="AV104" s="143">
        <f>AR104/(AN104*AVERAGE(D$70,D$71,D$99,D$85,D$86,D$92,D$93,D$100,D$78,D$81)*0.01)</f>
        <v>285.89213862498445</v>
      </c>
      <c r="AW104" s="433">
        <f>AR104/AQ$3</f>
        <v>0.38437499999998764</v>
      </c>
      <c r="AX104" s="66"/>
      <c r="AY104" s="66"/>
      <c r="AZ104" s="66"/>
      <c r="BA104" s="66"/>
      <c r="BB104" s="66"/>
      <c r="BC104" s="63"/>
      <c r="BD104" s="64"/>
      <c r="BE104" s="147"/>
      <c r="BF104" s="86"/>
      <c r="BG104" s="65"/>
      <c r="BH104" s="66"/>
      <c r="BI104" s="66"/>
      <c r="BJ104" s="66"/>
      <c r="BK104" s="66"/>
      <c r="BL104" s="86"/>
      <c r="BM104" s="86"/>
      <c r="BN104" s="63"/>
      <c r="BO104" s="87"/>
      <c r="BP104" s="87"/>
      <c r="BQ104" s="87"/>
      <c r="BR104" s="66"/>
      <c r="BS104" s="64"/>
      <c r="BT104" s="66"/>
      <c r="BU104" s="67"/>
      <c r="BV104" s="65"/>
      <c r="BW104" s="66">
        <v>51.1</v>
      </c>
      <c r="BX104" s="66">
        <v>628</v>
      </c>
      <c r="BY104" s="443">
        <f>(BX104-BX103)*CB$1/((C104)/24)</f>
        <v>38</v>
      </c>
      <c r="BZ104" s="443">
        <f>CB$3/BY104</f>
        <v>19.631578947368421</v>
      </c>
      <c r="CA104" s="66">
        <v>277</v>
      </c>
      <c r="CB104" s="72">
        <f t="shared" si="81"/>
        <v>36322.440625000003</v>
      </c>
      <c r="CC104" s="289">
        <f>(CB104-CB103)/((C104/24))</f>
        <v>367.96875</v>
      </c>
      <c r="CD104" s="289">
        <f>(CB104-CB103)/(C104)</f>
        <v>15.33203125</v>
      </c>
      <c r="CE104" s="72">
        <f>CC104/(BY104*(AVERAGE(D$70,D$71,D$99,D$85,D$86,D$92,D$93,D$100,D$78,D$81))*AVERAGE(E$70,E$71,E$99,E$85,E$86,E$92,E$93,E$100,E$78,E$81)*0.0001)</f>
        <v>403.33652772553512</v>
      </c>
      <c r="CF104" s="66"/>
      <c r="CG104" s="72">
        <f>CC104/(BY104*AVERAGE((D$70,D$71,D$99,D$85,D$86,D$92,D$93,D$100,D$78,D$81))*0.01)</f>
        <v>308.27907117457602</v>
      </c>
      <c r="CH104" s="433">
        <f t="shared" si="93"/>
        <v>0.49325569705093836</v>
      </c>
      <c r="CI104" s="66"/>
      <c r="CJ104" s="66"/>
      <c r="CK104" s="66"/>
      <c r="CL104" s="66"/>
      <c r="CM104" s="66"/>
      <c r="CN104" s="110"/>
    </row>
    <row r="105" spans="1:92">
      <c r="A105" s="141">
        <f t="shared" si="73"/>
        <v>41260</v>
      </c>
      <c r="B105" s="307">
        <f t="shared" si="83"/>
        <v>0.33333333333333331</v>
      </c>
      <c r="C105" s="304">
        <f t="shared" si="79"/>
        <v>24</v>
      </c>
      <c r="D105" s="65"/>
      <c r="E105" s="66"/>
      <c r="F105" s="66"/>
      <c r="G105" s="66"/>
      <c r="H105" s="66"/>
      <c r="I105" s="66"/>
      <c r="J105" s="86"/>
      <c r="K105" s="86"/>
      <c r="L105" s="63"/>
      <c r="M105" s="86"/>
      <c r="N105" s="66"/>
      <c r="O105" s="261"/>
      <c r="P105" s="465"/>
      <c r="Q105" s="465"/>
      <c r="R105" s="465"/>
      <c r="S105" s="86"/>
      <c r="T105" s="86"/>
      <c r="U105" s="86"/>
      <c r="V105" s="65"/>
      <c r="W105" s="66"/>
      <c r="X105" s="66"/>
      <c r="Y105" s="66"/>
      <c r="Z105" s="66"/>
      <c r="AA105" s="86"/>
      <c r="AB105" s="86"/>
      <c r="AC105" s="63"/>
      <c r="AD105" s="87"/>
      <c r="AE105" s="87"/>
      <c r="AF105" s="87"/>
      <c r="AG105" s="66"/>
      <c r="AH105" s="66"/>
      <c r="AI105" s="87"/>
      <c r="AJ105" s="63"/>
      <c r="AK105" s="180"/>
      <c r="AL105" s="159">
        <v>35.6</v>
      </c>
      <c r="AM105" s="180">
        <v>1296</v>
      </c>
      <c r="AN105" s="89">
        <f>(AM105-AM104)*AQ$1/((C105)/24)</f>
        <v>58.320000000000007</v>
      </c>
      <c r="AO105" s="89">
        <f>AQ$3/AN105</f>
        <v>24.228395061728392</v>
      </c>
      <c r="AP105" s="76">
        <v>611</v>
      </c>
      <c r="AQ105" s="76">
        <f t="shared" si="82"/>
        <v>74513.671875</v>
      </c>
      <c r="AR105" s="72">
        <f>(AQ105-AQ104)/(C105/24)</f>
        <v>603.46875</v>
      </c>
      <c r="AS105" s="161">
        <f>(AQ105-AQ104)/C105</f>
        <v>25.14453125</v>
      </c>
      <c r="AT105" s="72">
        <f>AR105/(AN105*(AVERAGE(D$70,D$71,D$99,D$85,D$86,D$92,D$93,D$100,D$78,D$81))*AVERAGE(E$70,E$71,E$99,E$85,E$86,E$92,E$93,E$100,E$78,E$81)*0.0001)</f>
        <v>431.00021275472125</v>
      </c>
      <c r="AU105" s="180"/>
      <c r="AV105" s="143">
        <f>AR105/(AN105*AVERAGE(D$70,D$71,D$99,D$85,D$86,D$92,D$93,D$100,D$78,D$81)*0.01)</f>
        <v>329.42304039093921</v>
      </c>
      <c r="AW105" s="433">
        <f>AR105/AQ$3</f>
        <v>0.42708333333333331</v>
      </c>
      <c r="AX105" s="66"/>
      <c r="AY105" s="66"/>
      <c r="AZ105" s="66"/>
      <c r="BA105" s="66"/>
      <c r="BB105" s="66"/>
      <c r="BC105" s="63"/>
      <c r="BD105" s="64"/>
      <c r="BE105" s="147"/>
      <c r="BF105" s="86"/>
      <c r="BG105" s="65"/>
      <c r="BH105" s="66"/>
      <c r="BI105" s="66"/>
      <c r="BJ105" s="66"/>
      <c r="BK105" s="66"/>
      <c r="BL105" s="86"/>
      <c r="BM105" s="86"/>
      <c r="BN105" s="63"/>
      <c r="BO105" s="87"/>
      <c r="BP105" s="87"/>
      <c r="BQ105" s="87"/>
      <c r="BR105" s="66"/>
      <c r="BS105" s="64"/>
      <c r="BT105" s="66"/>
      <c r="BU105" s="67"/>
      <c r="BV105" s="65"/>
      <c r="BW105" s="66">
        <v>51.1</v>
      </c>
      <c r="BX105" s="66">
        <v>649</v>
      </c>
      <c r="BY105" s="443">
        <f>(BX105-BX104)*CB$1/((C105)/24)</f>
        <v>42</v>
      </c>
      <c r="BZ105" s="443">
        <f>CB$3/BY105</f>
        <v>17.761904761904763</v>
      </c>
      <c r="CA105" s="66">
        <v>282</v>
      </c>
      <c r="CB105" s="72">
        <f t="shared" si="81"/>
        <v>36629.081250000003</v>
      </c>
      <c r="CC105" s="289">
        <f>(CB105-CB104)/((C105/24))</f>
        <v>306.640625</v>
      </c>
      <c r="CD105" s="289">
        <f>(CB105-CB104)/(C105)</f>
        <v>12.776692708333334</v>
      </c>
      <c r="CE105" s="72">
        <f>CC105/(BY105*(AVERAGE(D$70,D$71,D$99,D$85,D$86,D$92,D$93,D$100,D$78,D$81))*AVERAGE(E$70,E$71,E$99,E$85,E$86,E$92,E$93,E$100,E$78,E$81)*0.0001)</f>
        <v>304.10293757083997</v>
      </c>
      <c r="CF105" s="66"/>
      <c r="CG105" s="72">
        <f>CC105/(BY105*AVERAGE((D$70,D$71,D$99,D$85,D$86,D$92,D$93,D$100,D$78,D$81))*0.01)</f>
        <v>232.43263302845017</v>
      </c>
      <c r="CH105" s="433">
        <f t="shared" si="93"/>
        <v>0.41104641420911531</v>
      </c>
      <c r="CI105" s="66"/>
      <c r="CJ105" s="66"/>
      <c r="CK105" s="66"/>
      <c r="CL105" s="66"/>
      <c r="CM105" s="66"/>
      <c r="CN105" s="110"/>
    </row>
    <row r="106" spans="1:92" s="337" customFormat="1" ht="42.75">
      <c r="A106" s="309">
        <f t="shared" si="73"/>
        <v>41261</v>
      </c>
      <c r="B106" s="310">
        <f t="shared" si="83"/>
        <v>0.33333333333333331</v>
      </c>
      <c r="C106" s="311">
        <f t="shared" si="79"/>
        <v>24</v>
      </c>
      <c r="D106" s="467">
        <v>2.7</v>
      </c>
      <c r="E106" s="319">
        <v>77</v>
      </c>
      <c r="F106" s="441">
        <v>28700</v>
      </c>
      <c r="G106" s="365">
        <v>6.38</v>
      </c>
      <c r="H106" s="319"/>
      <c r="I106" s="348">
        <v>2013</v>
      </c>
      <c r="J106" s="315"/>
      <c r="K106" s="315"/>
      <c r="L106" s="320"/>
      <c r="M106" s="317">
        <v>71</v>
      </c>
      <c r="N106" s="319"/>
      <c r="O106" s="316"/>
      <c r="P106" s="465"/>
      <c r="Q106" s="465"/>
      <c r="R106" s="465"/>
      <c r="S106" s="317"/>
      <c r="T106" s="317"/>
      <c r="U106" s="317"/>
      <c r="V106" s="318">
        <v>2.2000000000000002</v>
      </c>
      <c r="W106" s="318">
        <v>65.2</v>
      </c>
      <c r="X106" s="348"/>
      <c r="Y106" s="319"/>
      <c r="Z106" s="348"/>
      <c r="AA106" s="315"/>
      <c r="AB106" s="315"/>
      <c r="AC106" s="320"/>
      <c r="AD106" s="391">
        <f>D101*(100-E101)/(100-W106)</f>
        <v>2.1723448275862074</v>
      </c>
      <c r="AE106" s="387">
        <f>D101-V106</f>
        <v>0.91999999999999993</v>
      </c>
      <c r="AF106" s="393">
        <f>100*(AVERAGE(D99,D101,D92,D93,D86,D85,D81,D78,D71)-V106)/AVERAGE(D99,D101,D92,D93,D86,D85,D81,D78,D71)</f>
        <v>29.712460063897765</v>
      </c>
      <c r="AG106" s="393">
        <f>100*(1-((100-AVERAGE(E99,E101,E92,E93,E86,E85,E81,E78,E70,E71))/(100-W106)))</f>
        <v>32.086206896551758</v>
      </c>
      <c r="AH106" s="387">
        <f>E101-W106</f>
        <v>10.569999999999993</v>
      </c>
      <c r="AI106" s="393">
        <f>100*(1-((V106*W106)/(AVERAGE(D99,D101,D92,D93,D86,D85,D81,D78,D71)*AVERAGE(E99,E101,E92,E93,E86,E85,E81,E78,E71))))</f>
        <v>39.998940304764638</v>
      </c>
      <c r="AJ106" s="389">
        <f>100*100*((AVERAGE(E98,E104,E91,E97,E86,E90,E83,E76,E75)-W106)/((100-W106)*AVERAGE(E98,E104,E91,E97,E86,E90,E83,E76,E75)))</f>
        <v>47.678284434602453</v>
      </c>
      <c r="AK106" s="441">
        <v>7.09</v>
      </c>
      <c r="AL106" s="470">
        <v>33.9</v>
      </c>
      <c r="AM106" s="441">
        <v>1324</v>
      </c>
      <c r="AN106" s="89">
        <f>(AM106-AM105)*AQ$1/((C106)/24)</f>
        <v>60.480000000000004</v>
      </c>
      <c r="AO106" s="89">
        <f>AQ$3/AN106</f>
        <v>23.363095238095237</v>
      </c>
      <c r="AP106" s="348">
        <v>620</v>
      </c>
      <c r="AQ106" s="76">
        <f t="shared" si="82"/>
        <v>75056.793750000012</v>
      </c>
      <c r="AR106" s="72">
        <f>(AQ106-AQ105)/(C106/24)</f>
        <v>543.12187500001164</v>
      </c>
      <c r="AS106" s="161">
        <f>(AQ106-AQ105)/C106</f>
        <v>22.630078125000484</v>
      </c>
      <c r="AT106" s="72">
        <f>AR106/(AN106*(AVERAGE(D$70,D$71,D$99,D$85,D$86,D$92,D$93,D$100,D$78,D$81))*AVERAGE(E$70,E$71,E$99,E$85,E$86,E$92,E$93,E$100,E$78,E$81)*0.0001)</f>
        <v>374.04661321214115</v>
      </c>
      <c r="AU106" s="313">
        <f>(AQ106-AQ77)/(AVERAGE(AN77:AN106)*((AVERAGE(D106,D101,D99,D93,D92,D86,D81,D85,D78)*AVERAGE(E106,E101,E99,E93,E92,E86,E81,E85,E78))-(V106*W106))*0.0001*(SUM(C77:C106)/24))</f>
        <v>1194.034930846613</v>
      </c>
      <c r="AV106" s="143">
        <f>AR106/(AN106*AVERAGE(D$70,D$71,D$99,D$85,D$86,D$92,D$93,D$100,D$78,D$81)*0.01)</f>
        <v>285.8921386249998</v>
      </c>
      <c r="AW106" s="433">
        <f>AR106/AQ$3</f>
        <v>0.38437500000000824</v>
      </c>
      <c r="AX106" s="319">
        <v>67.599999999999994</v>
      </c>
      <c r="AY106" s="319">
        <v>30.5</v>
      </c>
      <c r="AZ106" s="319">
        <v>0</v>
      </c>
      <c r="BA106" s="319">
        <v>14</v>
      </c>
      <c r="BB106" s="319">
        <v>60</v>
      </c>
      <c r="BC106" s="320"/>
      <c r="BD106" s="368"/>
      <c r="BE106" s="330"/>
      <c r="BF106" s="317"/>
      <c r="BG106" s="318">
        <v>2.2000000000000002</v>
      </c>
      <c r="BH106" s="319">
        <v>64.599999999999994</v>
      </c>
      <c r="BI106" s="348">
        <v>25500</v>
      </c>
      <c r="BJ106" s="319"/>
      <c r="BK106" s="348">
        <v>2333</v>
      </c>
      <c r="BL106" s="315"/>
      <c r="BM106" s="315"/>
      <c r="BN106" s="320"/>
      <c r="BO106" s="391">
        <f>D101*(100-E101)/(100-BH106)</f>
        <v>2.1355254237288137</v>
      </c>
      <c r="BP106" s="387">
        <f>D101-BG106</f>
        <v>0.91999999999999993</v>
      </c>
      <c r="BQ106" s="392">
        <f>100*(AVERAGE(D101,D93,D92,D99,D85,D81,D86,D78)-BG106)/AVERAGE(D101,D93,D92,D99,D85,D81,D86,D78)</f>
        <v>29.515418502202635</v>
      </c>
      <c r="BR106" s="393">
        <f>100*(1-((100-AVERAGE(E99,E101,E92,E85,E93,E81,E86,E78))/(100-BH106)))</f>
        <v>33.227401129943502</v>
      </c>
      <c r="BS106" s="387">
        <f>E101-BH106</f>
        <v>11.170000000000002</v>
      </c>
      <c r="BT106" s="392">
        <f>100*(1-((BG106*BH106)/(AVERAGE(D93,D101,D92,D99,D81,D85,D86,D78)*AVERAGE(E93,E99,E92,E101,E81,E85,E86,E78))))</f>
        <v>40.37251314771374</v>
      </c>
      <c r="BU106" s="389">
        <f>100*100*((AVERAGE(E93,E101,E92,E99,E85,E81,E86,E78)-BH106)/((100-BH106)*AVERAGE(E93,E101,E92,E99,E85,E81,E86,E78)))</f>
        <v>43.512720418979875</v>
      </c>
      <c r="BV106" s="318">
        <v>7.31</v>
      </c>
      <c r="BW106" s="365">
        <v>47.4</v>
      </c>
      <c r="BX106" s="319">
        <v>667</v>
      </c>
      <c r="BY106" s="443">
        <f>(BX106-BX105)*CB$1/((C106)/24)</f>
        <v>36</v>
      </c>
      <c r="BZ106" s="443">
        <f>CB$3/BY106</f>
        <v>20.722222222222221</v>
      </c>
      <c r="CA106" s="319">
        <v>288</v>
      </c>
      <c r="CB106" s="72">
        <f t="shared" si="81"/>
        <v>36997.050000000003</v>
      </c>
      <c r="CC106" s="289">
        <f>(CB106-CB105)/((C106/24))</f>
        <v>367.96875</v>
      </c>
      <c r="CD106" s="289">
        <f>(CB106-CB105)/(C106)</f>
        <v>15.33203125</v>
      </c>
      <c r="CE106" s="72">
        <f>CC106/(BY106*(AVERAGE(D$70,D$71,D$99,D$85,D$86,D$92,D$93,D$100,D$78,D$81))*AVERAGE(E$70,E$71,E$99,E$85,E$86,E$92,E$93,E$100,E$78,E$81)*0.0001)</f>
        <v>425.74411259917588</v>
      </c>
      <c r="CF106" s="313">
        <f>(CB106-CB77)/(AVERAGE(BY77:BY106)*((AVERAGE(D106,D101,D99,D93,D92,D86,D81,D85,D78)*AVERAGE(E106,E101,E99,E93,E92,E86,E81,E85,E78))-(BG106*BH106))*0.0001*(SUM(C77:C106)/24))</f>
        <v>1117.8211943246263</v>
      </c>
      <c r="CG106" s="72">
        <f>CC106/(BY106*AVERAGE((D$70,D$71,D$99,D$85,D$86,D$92,D$93,D$100,D$78,D$81))*0.01)</f>
        <v>325.40568623983017</v>
      </c>
      <c r="CH106" s="433">
        <f t="shared" si="93"/>
        <v>0.49325569705093836</v>
      </c>
      <c r="CI106" s="319">
        <v>66.2</v>
      </c>
      <c r="CJ106" s="319">
        <v>32.4</v>
      </c>
      <c r="CK106" s="319">
        <v>0</v>
      </c>
      <c r="CL106" s="319">
        <v>8</v>
      </c>
      <c r="CM106" s="319">
        <v>100</v>
      </c>
      <c r="CN106" s="445" t="s">
        <v>122</v>
      </c>
    </row>
    <row r="107" spans="1:92">
      <c r="A107" s="141">
        <f t="shared" si="73"/>
        <v>41262</v>
      </c>
      <c r="B107" s="307">
        <f t="shared" si="83"/>
        <v>0.33333333333333331</v>
      </c>
      <c r="C107" s="304">
        <f t="shared" si="79"/>
        <v>24</v>
      </c>
      <c r="D107" s="65"/>
      <c r="E107" s="66"/>
      <c r="F107" s="66"/>
      <c r="G107" s="66"/>
      <c r="H107" s="66"/>
      <c r="I107" s="66"/>
      <c r="J107" s="86"/>
      <c r="K107" s="86"/>
      <c r="L107" s="63"/>
      <c r="M107" s="86"/>
      <c r="N107" s="66"/>
      <c r="O107" s="261"/>
      <c r="P107" s="465"/>
      <c r="Q107" s="465"/>
      <c r="R107" s="465"/>
      <c r="S107" s="86"/>
      <c r="T107" s="86"/>
      <c r="U107" s="86"/>
      <c r="V107" s="65"/>
      <c r="W107" s="66"/>
      <c r="X107" s="66"/>
      <c r="Y107" s="66"/>
      <c r="Z107" s="66"/>
      <c r="AA107" s="86"/>
      <c r="AB107" s="86"/>
      <c r="AC107" s="63"/>
      <c r="AD107" s="87"/>
      <c r="AE107" s="87"/>
      <c r="AF107" s="87"/>
      <c r="AG107" s="66"/>
      <c r="AH107" s="66"/>
      <c r="AI107" s="87"/>
      <c r="AJ107" s="63"/>
      <c r="AK107" s="180"/>
      <c r="AL107" s="159">
        <v>35.6</v>
      </c>
      <c r="AM107" s="180">
        <v>1367</v>
      </c>
      <c r="AN107" s="89">
        <f t="shared" ref="AN107:AN116" si="94">(AM107-AM106)*AQ$1/((C107)/24)</f>
        <v>92.88000000000001</v>
      </c>
      <c r="AO107" s="484">
        <f t="shared" ref="AO107:AO116" si="95">AQ$3/AN107</f>
        <v>15.213178294573641</v>
      </c>
      <c r="AP107" s="76">
        <v>628</v>
      </c>
      <c r="AQ107" s="76">
        <f t="shared" si="82"/>
        <v>75539.568750000006</v>
      </c>
      <c r="AR107" s="72">
        <f t="shared" ref="AR107:AR116" si="96">(AQ107-AQ106)/(C107/24)</f>
        <v>482.77499999999418</v>
      </c>
      <c r="AS107" s="161">
        <f t="shared" ref="AS107:AS116" si="97">(AQ107-AQ106)/C107</f>
        <v>20.115624999999756</v>
      </c>
      <c r="AT107" s="72">
        <f>AR107/(AN107*(AVERAGE(D$106,D$99,D$85,D$86,D$92,D$93,D$100,D$78,D$81))*AVERAGE(E$106,E$99,E$85,E$86,E$92,E$93,E$100,E$78,E$81)*0.0001)</f>
        <v>221.36419626796544</v>
      </c>
      <c r="AU107" s="180"/>
      <c r="AV107" s="143">
        <f>AR107/(AN107*AVERAGE(D$106,D$99,D$85,D$86,D$92,D$93,D$100,D$78,D$81)*0.01)</f>
        <v>169.37958182688712</v>
      </c>
      <c r="AW107" s="433">
        <f t="shared" ref="AW107:AW132" si="98">AR107/AQ$3</f>
        <v>0.34166666666666257</v>
      </c>
      <c r="AX107" s="180"/>
      <c r="AY107" s="180"/>
      <c r="AZ107" s="180"/>
      <c r="BA107" s="180"/>
      <c r="BB107" s="180"/>
      <c r="BC107" s="63"/>
      <c r="BD107" s="64"/>
      <c r="BE107" s="147"/>
      <c r="BF107" s="86"/>
      <c r="BG107" s="65"/>
      <c r="BH107" s="66"/>
      <c r="BI107" s="66"/>
      <c r="BJ107" s="66"/>
      <c r="BK107" s="66"/>
      <c r="BL107" s="86"/>
      <c r="BM107" s="86"/>
      <c r="BN107" s="63"/>
      <c r="BO107" s="87"/>
      <c r="BP107" s="87"/>
      <c r="BQ107" s="87"/>
      <c r="BR107" s="66"/>
      <c r="BS107" s="64"/>
      <c r="BT107" s="66"/>
      <c r="BU107" s="67"/>
      <c r="BV107" s="65"/>
      <c r="BW107" s="66">
        <v>51</v>
      </c>
      <c r="BX107" s="66">
        <v>683</v>
      </c>
      <c r="BY107" s="443">
        <f t="shared" ref="BY107:BY116" si="99">(BX107-BX106)*CB$1/((C107)/24)</f>
        <v>32</v>
      </c>
      <c r="BZ107" s="443">
        <f t="shared" ref="BZ107:BZ116" si="100">CB$3/BY107</f>
        <v>23.3125</v>
      </c>
      <c r="CA107" s="66">
        <v>293</v>
      </c>
      <c r="CB107" s="72">
        <f t="shared" si="81"/>
        <v>37303.690625000003</v>
      </c>
      <c r="CC107" s="289">
        <f t="shared" ref="CC107:CC112" si="101">(CB107-CB106)/((C107/24))</f>
        <v>306.640625</v>
      </c>
      <c r="CD107" s="289">
        <f t="shared" ref="CD107:CD112" si="102">(CB107-CB106)/(C107)</f>
        <v>12.776692708333334</v>
      </c>
      <c r="CE107" s="72">
        <f>CC107/(BY107*(AVERAGE(D$106,D$99,D$85,D$86,D$92,D$93,D$100,D$78,D$81))*AVERAGE(E$106,E$99,E$85,E$86,E$92,E$93,E$100,E$78,E$81)*0.0001)</f>
        <v>408.09805619142367</v>
      </c>
      <c r="CF107" s="66"/>
      <c r="CG107" s="72">
        <f>CC107/(BY107*AVERAGE((D$106,D$99,D$85,D$86,D$92,D$93,D$100,D$78,D$81))*0.01)</f>
        <v>312.26132892057024</v>
      </c>
      <c r="CH107" s="433">
        <f t="shared" si="93"/>
        <v>0.41104641420911531</v>
      </c>
      <c r="CI107" s="66"/>
      <c r="CJ107" s="66"/>
      <c r="CK107" s="66"/>
      <c r="CL107" s="66"/>
      <c r="CM107" s="66"/>
      <c r="CN107" s="110"/>
    </row>
    <row r="108" spans="1:92">
      <c r="A108" s="141">
        <f t="shared" si="73"/>
        <v>41263</v>
      </c>
      <c r="B108" s="307">
        <f t="shared" si="83"/>
        <v>0.33333333333333331</v>
      </c>
      <c r="C108" s="304">
        <f t="shared" si="79"/>
        <v>24</v>
      </c>
      <c r="D108" s="65"/>
      <c r="E108" s="66"/>
      <c r="F108" s="66"/>
      <c r="G108" s="66"/>
      <c r="H108" s="66"/>
      <c r="I108" s="66"/>
      <c r="J108" s="86"/>
      <c r="K108" s="86"/>
      <c r="L108" s="63"/>
      <c r="M108" s="86"/>
      <c r="N108" s="144"/>
      <c r="O108" s="261"/>
      <c r="P108" s="465"/>
      <c r="Q108" s="465"/>
      <c r="R108" s="465"/>
      <c r="S108" s="86"/>
      <c r="T108" s="86"/>
      <c r="U108" s="86"/>
      <c r="V108" s="65"/>
      <c r="W108" s="66"/>
      <c r="X108" s="66"/>
      <c r="Y108" s="66"/>
      <c r="Z108" s="66"/>
      <c r="AA108" s="86"/>
      <c r="AB108" s="86"/>
      <c r="AC108" s="63"/>
      <c r="AD108" s="87"/>
      <c r="AE108" s="87"/>
      <c r="AF108" s="87"/>
      <c r="AG108" s="66"/>
      <c r="AH108" s="66"/>
      <c r="AI108" s="87"/>
      <c r="AJ108" s="63"/>
      <c r="AK108" s="180"/>
      <c r="AL108" s="159">
        <v>35.6</v>
      </c>
      <c r="AM108" s="180">
        <v>1393</v>
      </c>
      <c r="AN108" s="89">
        <f t="shared" si="94"/>
        <v>56.160000000000004</v>
      </c>
      <c r="AO108" s="89">
        <f t="shared" si="95"/>
        <v>25.160256410256409</v>
      </c>
      <c r="AP108" s="76">
        <v>635</v>
      </c>
      <c r="AQ108" s="76">
        <f t="shared" si="82"/>
        <v>75961.996875000012</v>
      </c>
      <c r="AR108" s="72">
        <f t="shared" si="96"/>
        <v>422.42812500000582</v>
      </c>
      <c r="AS108" s="161">
        <f t="shared" si="97"/>
        <v>17.601171875000244</v>
      </c>
      <c r="AT108" s="72">
        <f t="shared" ref="AT108:AT116" si="103">AR108/(AN108*(AVERAGE(D$106,D$99,D$85,D$86,D$92,D$93,D$100,D$78,D$81))*AVERAGE(E$106,E$99,E$85,E$86,E$92,E$93,E$100,E$78,E$81)*0.0001)</f>
        <v>320.33953402240058</v>
      </c>
      <c r="AU108" s="180"/>
      <c r="AV108" s="143">
        <f t="shared" ref="AV108:AV116" si="104">AR108/(AN108*AVERAGE(D$106,D$99,D$85,D$86,D$92,D$93,D$100,D$78,D$81)*0.01)</f>
        <v>245.1117987014151</v>
      </c>
      <c r="AW108" s="433">
        <f t="shared" si="98"/>
        <v>0.29895833333333743</v>
      </c>
      <c r="AX108" s="180"/>
      <c r="AY108" s="180"/>
      <c r="AZ108" s="180"/>
      <c r="BA108" s="180"/>
      <c r="BB108" s="180"/>
      <c r="BC108" s="63"/>
      <c r="BD108" s="64"/>
      <c r="BE108" s="147"/>
      <c r="BF108" s="86"/>
      <c r="BG108" s="65"/>
      <c r="BH108" s="66"/>
      <c r="BI108" s="66"/>
      <c r="BJ108" s="66"/>
      <c r="BK108" s="66"/>
      <c r="BL108" s="86"/>
      <c r="BM108" s="86"/>
      <c r="BN108" s="63"/>
      <c r="BO108" s="87"/>
      <c r="BP108" s="87"/>
      <c r="BQ108" s="87"/>
      <c r="BR108" s="66"/>
      <c r="BS108" s="64"/>
      <c r="BT108" s="66"/>
      <c r="BU108" s="67"/>
      <c r="BV108" s="65"/>
      <c r="BW108" s="66">
        <v>51</v>
      </c>
      <c r="BX108" s="66">
        <v>697</v>
      </c>
      <c r="BY108" s="443">
        <f t="shared" si="99"/>
        <v>28</v>
      </c>
      <c r="BZ108" s="443">
        <f t="shared" si="100"/>
        <v>26.642857142857142</v>
      </c>
      <c r="CA108" s="66">
        <v>296</v>
      </c>
      <c r="CB108" s="72">
        <f t="shared" si="81"/>
        <v>37487.675000000003</v>
      </c>
      <c r="CC108" s="289"/>
      <c r="CD108" s="485">
        <f t="shared" si="102"/>
        <v>7.666015625</v>
      </c>
      <c r="CE108" s="72"/>
      <c r="CF108" s="66"/>
      <c r="CG108" s="72"/>
      <c r="CH108" s="433"/>
      <c r="CI108" s="66"/>
      <c r="CJ108" s="66"/>
      <c r="CK108" s="66"/>
      <c r="CL108" s="66"/>
      <c r="CM108" s="66"/>
      <c r="CN108" s="110"/>
    </row>
    <row r="109" spans="1:92">
      <c r="A109" s="141">
        <f t="shared" si="73"/>
        <v>41264</v>
      </c>
      <c r="B109" s="307">
        <f t="shared" si="83"/>
        <v>0.33333333333333331</v>
      </c>
      <c r="C109" s="304">
        <f t="shared" si="79"/>
        <v>24</v>
      </c>
      <c r="D109" s="65"/>
      <c r="E109" s="66"/>
      <c r="F109" s="66"/>
      <c r="G109" s="66"/>
      <c r="H109" s="66"/>
      <c r="I109" s="66"/>
      <c r="J109" s="86"/>
      <c r="K109" s="86"/>
      <c r="L109" s="63"/>
      <c r="M109" s="86"/>
      <c r="N109" s="66"/>
      <c r="O109" s="261"/>
      <c r="P109" s="465"/>
      <c r="Q109" s="424"/>
      <c r="R109" s="424"/>
      <c r="S109" s="86"/>
      <c r="T109" s="86"/>
      <c r="U109" s="86"/>
      <c r="V109" s="65"/>
      <c r="W109" s="66"/>
      <c r="X109" s="66"/>
      <c r="Y109" s="66"/>
      <c r="Z109" s="66"/>
      <c r="AA109" s="86"/>
      <c r="AB109" s="86"/>
      <c r="AC109" s="63"/>
      <c r="AD109" s="87"/>
      <c r="AE109" s="87"/>
      <c r="AF109" s="87"/>
      <c r="AG109" s="66"/>
      <c r="AH109" s="66"/>
      <c r="AI109" s="87"/>
      <c r="AJ109" s="63"/>
      <c r="AK109" s="159"/>
      <c r="AL109" s="159">
        <v>35.6</v>
      </c>
      <c r="AM109" s="180">
        <v>1424</v>
      </c>
      <c r="AN109" s="89">
        <f t="shared" si="94"/>
        <v>66.960000000000008</v>
      </c>
      <c r="AO109" s="89">
        <f t="shared" si="95"/>
        <v>21.102150537634405</v>
      </c>
      <c r="AP109" s="76">
        <v>642</v>
      </c>
      <c r="AQ109" s="76">
        <f t="shared" si="82"/>
        <v>76384.425000000017</v>
      </c>
      <c r="AR109" s="72">
        <f t="shared" si="96"/>
        <v>422.42812500000582</v>
      </c>
      <c r="AS109" s="161">
        <f t="shared" si="97"/>
        <v>17.601171875000244</v>
      </c>
      <c r="AT109" s="72">
        <f t="shared" si="103"/>
        <v>268.67186724459407</v>
      </c>
      <c r="AU109" s="180"/>
      <c r="AV109" s="143">
        <f t="shared" si="104"/>
        <v>205.57763762054168</v>
      </c>
      <c r="AW109" s="433">
        <f t="shared" si="98"/>
        <v>0.29895833333333743</v>
      </c>
      <c r="AX109" s="180"/>
      <c r="AY109" s="180"/>
      <c r="AZ109" s="180"/>
      <c r="BA109" s="180"/>
      <c r="BB109" s="180"/>
      <c r="BC109" s="102"/>
      <c r="BD109" s="64"/>
      <c r="BE109" s="147"/>
      <c r="BF109" s="86"/>
      <c r="BG109" s="65"/>
      <c r="BH109" s="66"/>
      <c r="BI109" s="66"/>
      <c r="BJ109" s="66"/>
      <c r="BK109" s="66"/>
      <c r="BL109" s="86"/>
      <c r="BM109" s="86"/>
      <c r="BN109" s="63"/>
      <c r="BO109" s="87"/>
      <c r="BP109" s="87"/>
      <c r="BQ109" s="87"/>
      <c r="BR109" s="66"/>
      <c r="BS109" s="64"/>
      <c r="BT109" s="66"/>
      <c r="BU109" s="67"/>
      <c r="BV109" s="65"/>
      <c r="BW109" s="66">
        <v>51</v>
      </c>
      <c r="BX109" s="66">
        <v>704</v>
      </c>
      <c r="BY109" s="443">
        <f t="shared" si="99"/>
        <v>14</v>
      </c>
      <c r="BZ109" s="443">
        <f t="shared" si="100"/>
        <v>53.285714285714285</v>
      </c>
      <c r="CA109" s="66">
        <v>297</v>
      </c>
      <c r="CB109" s="72">
        <f t="shared" si="81"/>
        <v>37549.003125000003</v>
      </c>
      <c r="CC109" s="289"/>
      <c r="CD109" s="485"/>
      <c r="CE109" s="72"/>
      <c r="CF109" s="66"/>
      <c r="CG109" s="72"/>
      <c r="CH109" s="433"/>
      <c r="CI109" s="66"/>
      <c r="CJ109" s="66"/>
      <c r="CK109" s="66"/>
      <c r="CL109" s="66"/>
      <c r="CM109" s="66"/>
      <c r="CN109" s="112"/>
    </row>
    <row r="110" spans="1:92" ht="42.75">
      <c r="A110" s="141">
        <f t="shared" si="73"/>
        <v>41265</v>
      </c>
      <c r="B110" s="307">
        <f t="shared" si="83"/>
        <v>0.33333333333333331</v>
      </c>
      <c r="C110" s="304">
        <f t="shared" si="79"/>
        <v>24</v>
      </c>
      <c r="D110" s="65"/>
      <c r="E110" s="66"/>
      <c r="F110" s="66"/>
      <c r="G110" s="66"/>
      <c r="H110" s="66"/>
      <c r="I110" s="66"/>
      <c r="J110" s="86"/>
      <c r="K110" s="86"/>
      <c r="L110" s="63"/>
      <c r="M110" s="86"/>
      <c r="N110" s="66"/>
      <c r="O110" s="261"/>
      <c r="P110" s="424"/>
      <c r="Q110" s="424"/>
      <c r="R110" s="424"/>
      <c r="S110" s="86"/>
      <c r="T110" s="86"/>
      <c r="U110" s="86"/>
      <c r="V110" s="65"/>
      <c r="W110" s="66"/>
      <c r="X110" s="66"/>
      <c r="Y110" s="66"/>
      <c r="Z110" s="66"/>
      <c r="AA110" s="86"/>
      <c r="AB110" s="86"/>
      <c r="AC110" s="63"/>
      <c r="AD110" s="87"/>
      <c r="AE110" s="87"/>
      <c r="AF110" s="87"/>
      <c r="AG110" s="66"/>
      <c r="AH110" s="66"/>
      <c r="AI110" s="87"/>
      <c r="AJ110" s="63"/>
      <c r="AK110" s="198"/>
      <c r="AL110" s="159">
        <v>35.6</v>
      </c>
      <c r="AM110" s="180">
        <v>1453</v>
      </c>
      <c r="AN110" s="89">
        <f t="shared" si="94"/>
        <v>62.64</v>
      </c>
      <c r="AO110" s="89">
        <f t="shared" si="95"/>
        <v>22.557471264367816</v>
      </c>
      <c r="AP110" s="76">
        <v>647</v>
      </c>
      <c r="AQ110" s="76">
        <f t="shared" si="82"/>
        <v>76686.159375000017</v>
      </c>
      <c r="AR110" s="72">
        <f t="shared" si="96"/>
        <v>301.734375</v>
      </c>
      <c r="AS110" s="444">
        <f t="shared" si="97"/>
        <v>12.572265625</v>
      </c>
      <c r="AT110" s="72">
        <f t="shared" si="103"/>
        <v>205.14354395522909</v>
      </c>
      <c r="AU110" s="180"/>
      <c r="AV110" s="143">
        <f t="shared" si="104"/>
        <v>156.96814695164298</v>
      </c>
      <c r="AW110" s="433">
        <f t="shared" si="98"/>
        <v>0.21354166666666666</v>
      </c>
      <c r="AX110" s="180"/>
      <c r="AY110" s="180"/>
      <c r="AZ110" s="180"/>
      <c r="BA110" s="180"/>
      <c r="BB110" s="180"/>
      <c r="BC110" s="102" t="s">
        <v>126</v>
      </c>
      <c r="BD110" s="64"/>
      <c r="BE110" s="147"/>
      <c r="BF110" s="86"/>
      <c r="BG110" s="65"/>
      <c r="BH110" s="66"/>
      <c r="BI110" s="66"/>
      <c r="BJ110" s="66"/>
      <c r="BK110" s="66"/>
      <c r="BL110" s="86"/>
      <c r="BM110" s="86"/>
      <c r="BN110" s="63"/>
      <c r="BO110" s="87"/>
      <c r="BP110" s="87"/>
      <c r="BQ110" s="87"/>
      <c r="BR110" s="66"/>
      <c r="BS110" s="64"/>
      <c r="BT110" s="66"/>
      <c r="BU110" s="67"/>
      <c r="BV110" s="65"/>
      <c r="BW110" s="66">
        <v>49.7</v>
      </c>
      <c r="BX110" s="66">
        <v>733</v>
      </c>
      <c r="BY110" s="443">
        <f t="shared" si="99"/>
        <v>58</v>
      </c>
      <c r="BZ110" s="443">
        <f t="shared" si="100"/>
        <v>12.862068965517242</v>
      </c>
      <c r="CA110" s="66">
        <v>301</v>
      </c>
      <c r="CB110" s="72">
        <f t="shared" si="81"/>
        <v>37794.315625000003</v>
      </c>
      <c r="CC110" s="289">
        <f t="shared" si="101"/>
        <v>245.3125</v>
      </c>
      <c r="CD110" s="289">
        <f t="shared" si="102"/>
        <v>10.221354166666666</v>
      </c>
      <c r="CE110" s="72">
        <f>CC110/(BY110*(AVERAGE(D$106,D$99,D$85,D$86,D$92,D$93,D$100,D$78,D$81))*AVERAGE(E$106,E$99,E$85,E$86,E$92,E$93,E$100,E$78,E$81)*0.0001)</f>
        <v>180.12603859483528</v>
      </c>
      <c r="CF110" s="66"/>
      <c r="CG110" s="72">
        <f>CC110/(BY110*AVERAGE((D$106,D$99,D$85,D$86,D$92,D$93,D$100,D$78,D$81))*0.01)</f>
        <v>137.82569000632066</v>
      </c>
      <c r="CH110" s="433">
        <f t="shared" si="93"/>
        <v>0.3288371313672922</v>
      </c>
      <c r="CI110" s="66"/>
      <c r="CJ110" s="66"/>
      <c r="CK110" s="66"/>
      <c r="CL110" s="66"/>
      <c r="CM110" s="66"/>
      <c r="CN110" s="114" t="s">
        <v>124</v>
      </c>
    </row>
    <row r="111" spans="1:92" s="69" customFormat="1" ht="28.5">
      <c r="A111" s="141">
        <f t="shared" si="73"/>
        <v>41266</v>
      </c>
      <c r="B111" s="307">
        <f t="shared" si="83"/>
        <v>0.33333333333333331</v>
      </c>
      <c r="C111" s="304">
        <f t="shared" si="79"/>
        <v>24</v>
      </c>
      <c r="D111" s="65"/>
      <c r="E111" s="66"/>
      <c r="F111" s="66"/>
      <c r="G111" s="66"/>
      <c r="H111" s="66"/>
      <c r="I111" s="66"/>
      <c r="J111" s="86"/>
      <c r="K111" s="86"/>
      <c r="L111" s="63"/>
      <c r="M111" s="86"/>
      <c r="N111" s="66"/>
      <c r="O111" s="261"/>
      <c r="P111" s="465"/>
      <c r="Q111" s="424"/>
      <c r="R111" s="424"/>
      <c r="S111" s="86"/>
      <c r="T111" s="86"/>
      <c r="U111" s="86"/>
      <c r="V111" s="65"/>
      <c r="W111" s="66"/>
      <c r="X111" s="76"/>
      <c r="Y111" s="66"/>
      <c r="Z111" s="66"/>
      <c r="AA111" s="86"/>
      <c r="AB111" s="86"/>
      <c r="AC111" s="63"/>
      <c r="AD111" s="93"/>
      <c r="AE111" s="83"/>
      <c r="AF111" s="88"/>
      <c r="AG111" s="85"/>
      <c r="AH111" s="75"/>
      <c r="AI111" s="83"/>
      <c r="AJ111" s="195"/>
      <c r="AK111" s="65"/>
      <c r="AL111" s="159">
        <v>35.6</v>
      </c>
      <c r="AM111" s="180">
        <v>1481</v>
      </c>
      <c r="AN111" s="89">
        <f t="shared" si="94"/>
        <v>60.480000000000004</v>
      </c>
      <c r="AO111" s="89">
        <f t="shared" si="95"/>
        <v>23.363095238095237</v>
      </c>
      <c r="AP111" s="66">
        <v>650</v>
      </c>
      <c r="AQ111" s="76">
        <f t="shared" si="82"/>
        <v>76867.200000000012</v>
      </c>
      <c r="AR111" s="72">
        <f t="shared" si="96"/>
        <v>181.04062499999418</v>
      </c>
      <c r="AS111" s="444">
        <f t="shared" si="97"/>
        <v>7.5433593749997572</v>
      </c>
      <c r="AT111" s="72">
        <f t="shared" si="103"/>
        <v>127.48205945788825</v>
      </c>
      <c r="AU111" s="85"/>
      <c r="AV111" s="143">
        <f t="shared" si="104"/>
        <v>97.544491319946417</v>
      </c>
      <c r="AW111" s="433"/>
      <c r="AX111" s="66"/>
      <c r="AY111" s="66"/>
      <c r="AZ111" s="66"/>
      <c r="BA111" s="66"/>
      <c r="BB111" s="66"/>
      <c r="BC111" s="102"/>
      <c r="BD111" s="64"/>
      <c r="BE111" s="147"/>
      <c r="BF111" s="86"/>
      <c r="BG111" s="65"/>
      <c r="BH111" s="66"/>
      <c r="BI111" s="76"/>
      <c r="BJ111" s="66"/>
      <c r="BK111" s="76"/>
      <c r="BL111" s="86"/>
      <c r="BM111" s="86"/>
      <c r="BN111" s="63"/>
      <c r="BO111" s="93"/>
      <c r="BP111" s="83"/>
      <c r="BQ111" s="88"/>
      <c r="BR111" s="85"/>
      <c r="BS111" s="194"/>
      <c r="BT111" s="75"/>
      <c r="BU111" s="179"/>
      <c r="BV111" s="65"/>
      <c r="BW111" s="66">
        <v>47.7</v>
      </c>
      <c r="BX111" s="66">
        <v>736</v>
      </c>
      <c r="BY111" s="443">
        <f t="shared" si="99"/>
        <v>6</v>
      </c>
      <c r="BZ111" s="443">
        <f t="shared" si="100"/>
        <v>124.33333333333333</v>
      </c>
      <c r="CA111" s="66">
        <v>306</v>
      </c>
      <c r="CB111" s="72">
        <f t="shared" si="81"/>
        <v>38100.956250000003</v>
      </c>
      <c r="CC111" s="289">
        <f t="shared" si="101"/>
        <v>306.640625</v>
      </c>
      <c r="CD111" s="289">
        <f t="shared" si="102"/>
        <v>12.776692708333334</v>
      </c>
      <c r="CE111" s="72"/>
      <c r="CF111" s="161"/>
      <c r="CG111" s="72"/>
      <c r="CH111" s="433">
        <f t="shared" si="93"/>
        <v>0.41104641420911531</v>
      </c>
      <c r="CI111" s="66"/>
      <c r="CJ111" s="66"/>
      <c r="CK111" s="66"/>
      <c r="CL111" s="66"/>
      <c r="CM111" s="66"/>
      <c r="CN111" s="106" t="s">
        <v>125</v>
      </c>
    </row>
    <row r="112" spans="1:92">
      <c r="A112" s="141">
        <f t="shared" si="73"/>
        <v>41267</v>
      </c>
      <c r="B112" s="307">
        <f t="shared" si="83"/>
        <v>0.33333333333333331</v>
      </c>
      <c r="C112" s="304">
        <f t="shared" si="79"/>
        <v>24</v>
      </c>
      <c r="D112" s="65"/>
      <c r="E112" s="66"/>
      <c r="F112" s="66"/>
      <c r="G112" s="66"/>
      <c r="H112" s="66"/>
      <c r="I112" s="66"/>
      <c r="J112" s="86"/>
      <c r="K112" s="86"/>
      <c r="L112" s="63"/>
      <c r="M112" s="86"/>
      <c r="N112" s="66"/>
      <c r="O112" s="261"/>
      <c r="P112" s="465"/>
      <c r="Q112" s="424"/>
      <c r="R112" s="424"/>
      <c r="S112" s="86">
        <v>60</v>
      </c>
      <c r="T112" s="86"/>
      <c r="U112" s="86"/>
      <c r="V112" s="65"/>
      <c r="W112" s="66"/>
      <c r="X112" s="66"/>
      <c r="Y112" s="66"/>
      <c r="Z112" s="66"/>
      <c r="AA112" s="86"/>
      <c r="AB112" s="86"/>
      <c r="AC112" s="63"/>
      <c r="AD112" s="87"/>
      <c r="AE112" s="87"/>
      <c r="AF112" s="87"/>
      <c r="AG112" s="66"/>
      <c r="AH112" s="66"/>
      <c r="AI112" s="87"/>
      <c r="AJ112" s="63"/>
      <c r="AK112" s="65"/>
      <c r="AL112" s="159">
        <v>35.6</v>
      </c>
      <c r="AM112" s="180">
        <v>1492</v>
      </c>
      <c r="AN112" s="89">
        <f t="shared" si="94"/>
        <v>23.76</v>
      </c>
      <c r="AO112" s="484">
        <f t="shared" si="95"/>
        <v>59.469696969696969</v>
      </c>
      <c r="AP112" s="76">
        <v>655</v>
      </c>
      <c r="AQ112" s="76">
        <f t="shared" si="82"/>
        <v>77168.934375000012</v>
      </c>
      <c r="AR112" s="72">
        <f t="shared" si="96"/>
        <v>301.734375</v>
      </c>
      <c r="AS112" s="444">
        <f t="shared" si="97"/>
        <v>12.572265625</v>
      </c>
      <c r="AT112" s="72">
        <f t="shared" si="103"/>
        <v>540.83297951833117</v>
      </c>
      <c r="AU112" s="66"/>
      <c r="AV112" s="143">
        <f t="shared" si="104"/>
        <v>413.82511469069505</v>
      </c>
      <c r="AW112" s="433">
        <f t="shared" si="98"/>
        <v>0.21354166666666666</v>
      </c>
      <c r="AX112" s="66"/>
      <c r="AY112" s="66"/>
      <c r="AZ112" s="66"/>
      <c r="BA112" s="66"/>
      <c r="BB112" s="66"/>
      <c r="BC112" s="63"/>
      <c r="BD112" s="64">
        <v>30</v>
      </c>
      <c r="BE112" s="147"/>
      <c r="BF112" s="86"/>
      <c r="BG112" s="65"/>
      <c r="BH112" s="66"/>
      <c r="BI112" s="66"/>
      <c r="BJ112" s="66"/>
      <c r="BK112" s="66"/>
      <c r="BL112" s="86"/>
      <c r="BM112" s="86"/>
      <c r="BN112" s="63"/>
      <c r="BO112" s="87"/>
      <c r="BP112" s="87"/>
      <c r="BQ112" s="87"/>
      <c r="BR112" s="66"/>
      <c r="BS112" s="64"/>
      <c r="BT112" s="66"/>
      <c r="BU112" s="67"/>
      <c r="BV112" s="65"/>
      <c r="BW112" s="66">
        <v>51</v>
      </c>
      <c r="BX112" s="66">
        <v>762</v>
      </c>
      <c r="BY112" s="443">
        <f t="shared" si="99"/>
        <v>52</v>
      </c>
      <c r="BZ112" s="443">
        <f t="shared" si="100"/>
        <v>14.346153846153847</v>
      </c>
      <c r="CA112" s="66">
        <v>311</v>
      </c>
      <c r="CB112" s="72">
        <f t="shared" si="81"/>
        <v>38407.596875000003</v>
      </c>
      <c r="CC112" s="289">
        <f t="shared" si="101"/>
        <v>306.640625</v>
      </c>
      <c r="CD112" s="289">
        <f t="shared" si="102"/>
        <v>12.776692708333334</v>
      </c>
      <c r="CE112" s="72">
        <f>CC112/(BY112*(AVERAGE(D$106,D$99,D$85,D$86,D$92,D$93,D$100,D$78,D$81))*AVERAGE(E$106,E$99,E$85,E$86,E$92,E$93,E$100,E$78,E$81)*0.0001)</f>
        <v>251.13726534856843</v>
      </c>
      <c r="CF112" s="66"/>
      <c r="CG112" s="72">
        <f>CC112/(BY112*AVERAGE((D$106,D$99,D$85,D$86,D$92,D$93,D$100,D$78,D$81))*0.01)</f>
        <v>192.16081779727398</v>
      </c>
      <c r="CH112" s="433">
        <f t="shared" si="93"/>
        <v>0.41104641420911531</v>
      </c>
      <c r="CI112" s="66"/>
      <c r="CJ112" s="66"/>
      <c r="CK112" s="66"/>
      <c r="CL112" s="66"/>
      <c r="CM112" s="66"/>
      <c r="CN112" s="110"/>
    </row>
    <row r="113" spans="1:92">
      <c r="A113" s="141">
        <f t="shared" si="73"/>
        <v>41268</v>
      </c>
      <c r="B113" s="307">
        <f t="shared" si="83"/>
        <v>0.33333333333333331</v>
      </c>
      <c r="C113" s="304">
        <f t="shared" si="79"/>
        <v>24</v>
      </c>
      <c r="D113" s="65"/>
      <c r="E113" s="66"/>
      <c r="F113" s="66"/>
      <c r="G113" s="66"/>
      <c r="H113" s="66"/>
      <c r="I113" s="66"/>
      <c r="J113" s="86"/>
      <c r="K113" s="86"/>
      <c r="L113" s="63"/>
      <c r="M113" s="86">
        <v>80</v>
      </c>
      <c r="N113" s="66"/>
      <c r="O113" s="261"/>
      <c r="P113" s="465"/>
      <c r="Q113" s="424"/>
      <c r="R113" s="424"/>
      <c r="S113" s="86">
        <v>50</v>
      </c>
      <c r="T113" s="86">
        <v>10</v>
      </c>
      <c r="U113" s="86"/>
      <c r="V113" s="65"/>
      <c r="W113" s="66"/>
      <c r="X113" s="66"/>
      <c r="Y113" s="66"/>
      <c r="Z113" s="66"/>
      <c r="AA113" s="86"/>
      <c r="AB113" s="86"/>
      <c r="AC113" s="63"/>
      <c r="AD113" s="87"/>
      <c r="AE113" s="87"/>
      <c r="AF113" s="87"/>
      <c r="AG113" s="66"/>
      <c r="AH113" s="66"/>
      <c r="AI113" s="87"/>
      <c r="AJ113" s="63"/>
      <c r="AK113" s="65"/>
      <c r="AL113" s="159">
        <v>35.6</v>
      </c>
      <c r="AM113" s="180">
        <v>1519</v>
      </c>
      <c r="AN113" s="89">
        <f t="shared" si="94"/>
        <v>58.320000000000007</v>
      </c>
      <c r="AO113" s="89">
        <f t="shared" si="95"/>
        <v>24.228395061728392</v>
      </c>
      <c r="AP113" s="76">
        <v>664</v>
      </c>
      <c r="AQ113" s="76">
        <f t="shared" si="82"/>
        <v>77712.056250000009</v>
      </c>
      <c r="AR113" s="72">
        <f t="shared" si="96"/>
        <v>543.12187499999709</v>
      </c>
      <c r="AS113" s="161">
        <f t="shared" si="97"/>
        <v>22.63007812499988</v>
      </c>
      <c r="AT113" s="72">
        <f t="shared" si="103"/>
        <v>396.61085164677399</v>
      </c>
      <c r="AU113" s="66"/>
      <c r="AV113" s="143">
        <f t="shared" si="104"/>
        <v>303.47175077317473</v>
      </c>
      <c r="AW113" s="433">
        <f t="shared" si="98"/>
        <v>0.38437499999999791</v>
      </c>
      <c r="AX113" s="66"/>
      <c r="AY113" s="66"/>
      <c r="AZ113" s="66"/>
      <c r="BA113" s="66"/>
      <c r="BB113" s="66"/>
      <c r="BC113" s="102"/>
      <c r="BD113" s="64">
        <v>55</v>
      </c>
      <c r="BE113" s="147">
        <v>10</v>
      </c>
      <c r="BF113" s="86"/>
      <c r="BG113" s="65"/>
      <c r="BH113" s="66"/>
      <c r="BI113" s="66"/>
      <c r="BJ113" s="66"/>
      <c r="BK113" s="66"/>
      <c r="BL113" s="86"/>
      <c r="BM113" s="86"/>
      <c r="BN113" s="63"/>
      <c r="BO113" s="87"/>
      <c r="BP113" s="87"/>
      <c r="BQ113" s="87"/>
      <c r="BR113" s="66"/>
      <c r="BS113" s="64"/>
      <c r="BT113" s="66"/>
      <c r="BU113" s="67"/>
      <c r="BV113" s="65"/>
      <c r="BW113" s="66">
        <v>51</v>
      </c>
      <c r="BX113" s="66">
        <v>763</v>
      </c>
      <c r="BY113" s="443"/>
      <c r="BZ113" s="443"/>
      <c r="CA113" s="66">
        <v>312</v>
      </c>
      <c r="CB113" s="72">
        <f t="shared" si="81"/>
        <v>38468.925000000003</v>
      </c>
      <c r="CC113" s="289"/>
      <c r="CD113" s="485"/>
      <c r="CE113" s="72"/>
      <c r="CF113" s="66"/>
      <c r="CG113" s="72"/>
      <c r="CH113" s="433"/>
      <c r="CI113" s="66"/>
      <c r="CJ113" s="66"/>
      <c r="CK113" s="66"/>
      <c r="CL113" s="66"/>
      <c r="CM113" s="66"/>
      <c r="CN113" s="112"/>
    </row>
    <row r="114" spans="1:92">
      <c r="A114" s="141">
        <f t="shared" si="73"/>
        <v>41269</v>
      </c>
      <c r="B114" s="307">
        <f t="shared" si="83"/>
        <v>0.33333333333333331</v>
      </c>
      <c r="C114" s="304">
        <f t="shared" si="79"/>
        <v>24</v>
      </c>
      <c r="D114" s="65"/>
      <c r="E114" s="66"/>
      <c r="F114" s="66"/>
      <c r="G114" s="66"/>
      <c r="H114" s="66"/>
      <c r="I114" s="66"/>
      <c r="J114" s="86"/>
      <c r="K114" s="86"/>
      <c r="L114" s="63"/>
      <c r="M114" s="86">
        <v>85</v>
      </c>
      <c r="N114" s="66"/>
      <c r="O114" s="261"/>
      <c r="P114" s="465"/>
      <c r="Q114" s="424"/>
      <c r="R114" s="424"/>
      <c r="S114" s="86">
        <v>20</v>
      </c>
      <c r="T114" s="86"/>
      <c r="U114" s="86"/>
      <c r="V114" s="65"/>
      <c r="W114" s="66"/>
      <c r="X114" s="66"/>
      <c r="Y114" s="66"/>
      <c r="Z114" s="66"/>
      <c r="AA114" s="86"/>
      <c r="AB114" s="86"/>
      <c r="AC114" s="63"/>
      <c r="AD114" s="87"/>
      <c r="AE114" s="87"/>
      <c r="AF114" s="87"/>
      <c r="AG114" s="66"/>
      <c r="AH114" s="66"/>
      <c r="AI114" s="87"/>
      <c r="AJ114" s="63"/>
      <c r="AK114" s="65"/>
      <c r="AL114" s="159">
        <v>35.700000000000003</v>
      </c>
      <c r="AM114" s="180">
        <v>1530</v>
      </c>
      <c r="AN114" s="89">
        <f t="shared" si="94"/>
        <v>23.76</v>
      </c>
      <c r="AO114" s="484">
        <f t="shared" si="95"/>
        <v>59.469696969696969</v>
      </c>
      <c r="AP114" s="76">
        <v>671</v>
      </c>
      <c r="AQ114" s="76">
        <f t="shared" si="82"/>
        <v>78134.484375</v>
      </c>
      <c r="AR114" s="72">
        <f t="shared" si="96"/>
        <v>422.42812499999127</v>
      </c>
      <c r="AS114" s="161">
        <f t="shared" si="97"/>
        <v>17.601171874999636</v>
      </c>
      <c r="AT114" s="72">
        <f t="shared" si="103"/>
        <v>757.16617132564795</v>
      </c>
      <c r="AU114" s="66"/>
      <c r="AV114" s="143">
        <f t="shared" si="104"/>
        <v>579.3551605669611</v>
      </c>
      <c r="AW114" s="433">
        <f t="shared" si="98"/>
        <v>0.29895833333332716</v>
      </c>
      <c r="AX114" s="66"/>
      <c r="AY114" s="66"/>
      <c r="AZ114" s="66"/>
      <c r="BA114" s="66"/>
      <c r="BB114" s="66"/>
      <c r="BC114" s="63"/>
      <c r="BD114" s="147">
        <v>10</v>
      </c>
      <c r="BE114" s="147"/>
      <c r="BF114" s="86"/>
      <c r="BG114" s="65"/>
      <c r="BH114" s="66"/>
      <c r="BI114" s="66"/>
      <c r="BJ114" s="66"/>
      <c r="BK114" s="66"/>
      <c r="BL114" s="86"/>
      <c r="BM114" s="86"/>
      <c r="BN114" s="63"/>
      <c r="BO114" s="87"/>
      <c r="BP114" s="87"/>
      <c r="BQ114" s="87"/>
      <c r="BR114" s="66"/>
      <c r="BS114" s="64"/>
      <c r="BT114" s="66"/>
      <c r="BU114" s="67"/>
      <c r="BV114" s="65"/>
      <c r="BW114" s="66">
        <v>51</v>
      </c>
      <c r="BX114" s="66">
        <v>763</v>
      </c>
      <c r="BY114" s="443"/>
      <c r="BZ114" s="443"/>
      <c r="CA114" s="66">
        <v>314</v>
      </c>
      <c r="CB114" s="72">
        <f t="shared" si="81"/>
        <v>38591.581250000003</v>
      </c>
      <c r="CC114" s="289"/>
      <c r="CD114" s="485"/>
      <c r="CE114" s="72"/>
      <c r="CF114" s="66"/>
      <c r="CG114" s="72"/>
      <c r="CH114" s="433"/>
      <c r="CI114" s="66"/>
      <c r="CJ114" s="66"/>
      <c r="CK114" s="66"/>
      <c r="CL114" s="66"/>
      <c r="CM114" s="66"/>
      <c r="CN114" s="110"/>
    </row>
    <row r="115" spans="1:92" ht="28.5">
      <c r="A115" s="141">
        <f t="shared" si="73"/>
        <v>41270</v>
      </c>
      <c r="B115" s="307">
        <f t="shared" si="83"/>
        <v>0.33333333333333331</v>
      </c>
      <c r="C115" s="304">
        <f t="shared" si="79"/>
        <v>24</v>
      </c>
      <c r="D115" s="65"/>
      <c r="E115" s="66"/>
      <c r="F115" s="66"/>
      <c r="G115" s="66"/>
      <c r="H115" s="66"/>
      <c r="I115" s="66"/>
      <c r="J115" s="86"/>
      <c r="K115" s="86"/>
      <c r="L115" s="63"/>
      <c r="M115" s="86">
        <v>80</v>
      </c>
      <c r="N115" s="66"/>
      <c r="O115" s="261"/>
      <c r="P115" s="465"/>
      <c r="Q115" s="424"/>
      <c r="R115" s="424"/>
      <c r="S115" s="86">
        <v>35</v>
      </c>
      <c r="T115" s="86"/>
      <c r="U115" s="86"/>
      <c r="V115" s="65"/>
      <c r="W115" s="66"/>
      <c r="X115" s="66"/>
      <c r="Y115" s="66"/>
      <c r="Z115" s="66"/>
      <c r="AA115" s="86"/>
      <c r="AB115" s="86"/>
      <c r="AC115" s="63"/>
      <c r="AD115" s="87"/>
      <c r="AE115" s="87"/>
      <c r="AF115" s="87"/>
      <c r="AG115" s="66"/>
      <c r="AH115" s="66"/>
      <c r="AI115" s="87"/>
      <c r="AJ115" s="63"/>
      <c r="AK115" s="65"/>
      <c r="AL115" s="159">
        <v>35.6</v>
      </c>
      <c r="AM115" s="180">
        <v>1545</v>
      </c>
      <c r="AN115" s="89">
        <f t="shared" si="94"/>
        <v>32.400000000000006</v>
      </c>
      <c r="AO115" s="484">
        <f t="shared" si="95"/>
        <v>43.6111111111111</v>
      </c>
      <c r="AP115" s="76">
        <v>679</v>
      </c>
      <c r="AQ115" s="76">
        <f t="shared" si="82"/>
        <v>78617.259375000009</v>
      </c>
      <c r="AR115" s="72">
        <f t="shared" si="96"/>
        <v>482.77500000000873</v>
      </c>
      <c r="AS115" s="161">
        <f t="shared" si="97"/>
        <v>20.115625000000364</v>
      </c>
      <c r="AT115" s="72">
        <f t="shared" si="103"/>
        <v>634.57736263485333</v>
      </c>
      <c r="AU115" s="66"/>
      <c r="AV115" s="143">
        <f t="shared" si="104"/>
        <v>485.55480123709094</v>
      </c>
      <c r="AW115" s="433">
        <f t="shared" si="98"/>
        <v>0.34166666666667284</v>
      </c>
      <c r="AX115" s="66"/>
      <c r="AY115" s="66"/>
      <c r="AZ115" s="66"/>
      <c r="BA115" s="66"/>
      <c r="BB115" s="66"/>
      <c r="BC115" s="102" t="s">
        <v>127</v>
      </c>
      <c r="BD115" s="147">
        <v>16</v>
      </c>
      <c r="BE115" s="147"/>
      <c r="BF115" s="86"/>
      <c r="BG115" s="65"/>
      <c r="BH115" s="66"/>
      <c r="BI115" s="66"/>
      <c r="BJ115" s="66"/>
      <c r="BK115" s="66"/>
      <c r="BL115" s="86"/>
      <c r="BM115" s="86"/>
      <c r="BN115" s="63"/>
      <c r="BO115" s="87"/>
      <c r="BP115" s="87"/>
      <c r="BQ115" s="87"/>
      <c r="BR115" s="66"/>
      <c r="BS115" s="64"/>
      <c r="BT115" s="66"/>
      <c r="BU115" s="67"/>
      <c r="BV115" s="65"/>
      <c r="BW115" s="66">
        <v>51</v>
      </c>
      <c r="BX115" s="66">
        <v>764</v>
      </c>
      <c r="BY115" s="443"/>
      <c r="BZ115" s="443"/>
      <c r="CA115" s="66">
        <v>316</v>
      </c>
      <c r="CB115" s="72">
        <f t="shared" si="81"/>
        <v>38714.237500000003</v>
      </c>
      <c r="CC115" s="289"/>
      <c r="CD115" s="485"/>
      <c r="CE115" s="72"/>
      <c r="CF115" s="66"/>
      <c r="CG115" s="72"/>
      <c r="CH115" s="433"/>
      <c r="CI115" s="66"/>
      <c r="CJ115" s="66"/>
      <c r="CK115" s="66"/>
      <c r="CL115" s="66"/>
      <c r="CM115" s="66"/>
      <c r="CN115" s="102" t="s">
        <v>127</v>
      </c>
    </row>
    <row r="116" spans="1:92" s="337" customFormat="1" ht="28.5">
      <c r="A116" s="309">
        <f t="shared" si="73"/>
        <v>41271</v>
      </c>
      <c r="B116" s="307">
        <f t="shared" si="83"/>
        <v>0.33333333333333331</v>
      </c>
      <c r="C116" s="304">
        <f t="shared" si="79"/>
        <v>24</v>
      </c>
      <c r="D116" s="339">
        <v>2.66</v>
      </c>
      <c r="E116" s="365">
        <v>80.62</v>
      </c>
      <c r="F116" s="450"/>
      <c r="G116" s="365">
        <v>5.64</v>
      </c>
      <c r="H116" s="319"/>
      <c r="I116" s="348"/>
      <c r="J116" s="315"/>
      <c r="K116" s="315"/>
      <c r="L116" s="320"/>
      <c r="M116" s="317">
        <v>70</v>
      </c>
      <c r="N116" s="319"/>
      <c r="O116" s="316"/>
      <c r="P116" s="465"/>
      <c r="Q116" s="424"/>
      <c r="R116" s="424"/>
      <c r="S116" s="317">
        <v>47</v>
      </c>
      <c r="T116" s="317"/>
      <c r="U116" s="317"/>
      <c r="V116" s="339">
        <v>2.09</v>
      </c>
      <c r="W116" s="365">
        <v>64.900000000000006</v>
      </c>
      <c r="X116" s="348"/>
      <c r="Y116" s="319"/>
      <c r="Z116" s="348"/>
      <c r="AA116" s="315"/>
      <c r="AB116" s="315"/>
      <c r="AC116" s="320"/>
      <c r="AD116" s="391">
        <f>D106*(100-E106)/(100-W116)</f>
        <v>1.7692307692307696</v>
      </c>
      <c r="AE116" s="387">
        <f>D106-V116</f>
        <v>0.61000000000000032</v>
      </c>
      <c r="AF116" s="393">
        <f>100*(AVERAGE(D101,D106,D93,D99,D92,D86,D85,D78,D81)-V116)/AVERAGE(D101,D106,D93,D99,D92,D86,D85,D78,D81)</f>
        <v>32.020238525478867</v>
      </c>
      <c r="AG116" s="393">
        <f>100*(1-((100-AVERAGE(E101,E106,E93,E99,E92,E86,E85,E78,E81))/(100-W116)))</f>
        <v>32.858499525166195</v>
      </c>
      <c r="AH116" s="387">
        <f>E106-W116</f>
        <v>12.099999999999994</v>
      </c>
      <c r="AI116" s="393">
        <f>100*(1-((V116*W116)/(AVERAGE(D101,D106,D93,D99,D92,D86,D85,D78,D81)*AVERAGE(E101,E106,E93,E99,E92,E86,E85,E78,E81))))</f>
        <v>42.277978372920785</v>
      </c>
      <c r="AJ116" s="389">
        <f>100*100*((AVERAGE(E101,E106,E93,E99,E92,E86,E85,E78,E81)-W116)/((100-W116)*AVERAGE(E101,E106,E93,E99,E92,E86,E85,E78,E81)))</f>
        <v>42.989750796117995</v>
      </c>
      <c r="AK116" s="318">
        <v>7.08</v>
      </c>
      <c r="AL116" s="470">
        <v>33.9</v>
      </c>
      <c r="AM116" s="441">
        <v>1561</v>
      </c>
      <c r="AN116" s="89">
        <f t="shared" si="94"/>
        <v>34.56</v>
      </c>
      <c r="AO116" s="484">
        <f t="shared" si="95"/>
        <v>40.885416666666664</v>
      </c>
      <c r="AP116" s="319">
        <v>688</v>
      </c>
      <c r="AQ116" s="348">
        <f t="shared" si="82"/>
        <v>79160.381250000006</v>
      </c>
      <c r="AR116" s="72">
        <f t="shared" si="96"/>
        <v>543.12187499999709</v>
      </c>
      <c r="AS116" s="161">
        <f t="shared" si="97"/>
        <v>22.63007812499988</v>
      </c>
      <c r="AT116" s="72">
        <f t="shared" si="103"/>
        <v>669.28081215393127</v>
      </c>
      <c r="AU116" s="313">
        <f>(AQ116-AQ87)/(AVERAGE(AN87:AN116)*((AVERAGE(D106,D101,D99,D93,D92,D86,D81,D85,D78)*AVERAGE(E106,E101,E99,E93,E92,E86,E81,E85,E78))-(V116*W116))*0.0001*(SUM(C87:C116)/24))</f>
        <v>866.78321037131718</v>
      </c>
      <c r="AV116" s="143">
        <f t="shared" si="104"/>
        <v>512.10857942973246</v>
      </c>
      <c r="AW116" s="433">
        <f t="shared" si="98"/>
        <v>0.38437499999999791</v>
      </c>
      <c r="AX116" s="319">
        <v>66.099999999999994</v>
      </c>
      <c r="AY116" s="319">
        <v>31</v>
      </c>
      <c r="AZ116" s="319">
        <v>0</v>
      </c>
      <c r="BA116" s="319">
        <v>19</v>
      </c>
      <c r="BB116" s="319">
        <v>125</v>
      </c>
      <c r="BC116" s="415" t="s">
        <v>127</v>
      </c>
      <c r="BD116" s="330">
        <v>23</v>
      </c>
      <c r="BE116" s="330"/>
      <c r="BF116" s="317"/>
      <c r="BG116" s="339">
        <v>2.0099999999999998</v>
      </c>
      <c r="BH116" s="365">
        <v>64.08</v>
      </c>
      <c r="BI116" s="348"/>
      <c r="BJ116" s="319"/>
      <c r="BK116" s="348"/>
      <c r="BL116" s="315"/>
      <c r="BM116" s="315"/>
      <c r="BN116" s="320"/>
      <c r="BO116" s="391">
        <f>D106*(100-E106)/(100-BH116)</f>
        <v>1.7288418708240534</v>
      </c>
      <c r="BP116" s="387">
        <f>D106-BG116</f>
        <v>0.69000000000000039</v>
      </c>
      <c r="BQ116" s="392">
        <f>100*(AVERAGE(D101,D106,D93,D99,D92,D86,D85,D78,D81)-BG116)/AVERAGE(D101,D106,D93,D99,D92,D86,D85,D78,D81)</f>
        <v>34.622334658474891</v>
      </c>
      <c r="BR116" s="393">
        <f>100*(1-((100-AVERAGE(E101,E106,E93,E99,E92,E86,E85,E78,E81))/(100-BH116)))</f>
        <v>34.391239792130676</v>
      </c>
      <c r="BS116" s="387">
        <f>E106-BH116</f>
        <v>12.920000000000002</v>
      </c>
      <c r="BT116" s="392">
        <f>100*(1-((BG116*BH116)/(AVERAGE(D101,D106,D93,D99,D92,D86,D85,D78,D81)*AVERAGE(E101,E106,E93,E99,E92,E86,E85,E78,E818))))</f>
        <v>45.120015784052029</v>
      </c>
      <c r="BU116" s="389">
        <f>100*100*((AVERAGE(E101,E106,E93,E99,E92,E86,E85,E78,E81)-BH116)/((100-BH116)*AVERAGE(E101,E106,E93,E99,E92,E86,E85,E78,E81)))</f>
        <v>44.99508040836983</v>
      </c>
      <c r="BV116" s="318">
        <v>7.26</v>
      </c>
      <c r="BW116" s="365">
        <v>48</v>
      </c>
      <c r="BX116" s="319">
        <v>783</v>
      </c>
      <c r="BY116" s="443">
        <f t="shared" si="99"/>
        <v>38</v>
      </c>
      <c r="BZ116" s="443">
        <f t="shared" si="100"/>
        <v>19.631578947368421</v>
      </c>
      <c r="CA116" s="319">
        <v>318</v>
      </c>
      <c r="CB116" s="313">
        <f t="shared" si="81"/>
        <v>38836.893750000003</v>
      </c>
      <c r="CC116" s="289"/>
      <c r="CD116" s="485"/>
      <c r="CE116" s="72"/>
      <c r="CF116" s="313">
        <f>(CB116-CB87)/(AVERAGE(BY87:BY116)*((AVERAGE(D106,D101,D99,D93,D92,D86,D81,D85,D78)*AVERAGE(E106,E101,E99,E93,E92,E86,E81,E85,E78))-(BG116*BH116))*0.0001*(SUM(C87:C116)/24))</f>
        <v>763.35973815769796</v>
      </c>
      <c r="CG116" s="72"/>
      <c r="CH116" s="433"/>
      <c r="CI116" s="319">
        <v>65.8</v>
      </c>
      <c r="CJ116" s="319">
        <v>32.1</v>
      </c>
      <c r="CK116" s="319">
        <v>0</v>
      </c>
      <c r="CL116" s="319">
        <v>5</v>
      </c>
      <c r="CM116" s="319">
        <v>130</v>
      </c>
      <c r="CN116" s="415" t="s">
        <v>127</v>
      </c>
    </row>
    <row r="117" spans="1:92">
      <c r="A117" s="141">
        <f t="shared" si="73"/>
        <v>41272</v>
      </c>
      <c r="B117" s="307">
        <f t="shared" si="83"/>
        <v>0.33333333333333331</v>
      </c>
      <c r="C117" s="304">
        <f t="shared" si="79"/>
        <v>24</v>
      </c>
      <c r="D117" s="65"/>
      <c r="E117" s="66"/>
      <c r="F117" s="66"/>
      <c r="G117" s="66"/>
      <c r="H117" s="66"/>
      <c r="I117" s="66"/>
      <c r="J117" s="86"/>
      <c r="K117" s="86"/>
      <c r="L117" s="63"/>
      <c r="M117" s="86">
        <v>62</v>
      </c>
      <c r="N117" s="66"/>
      <c r="O117" s="261"/>
      <c r="P117" s="465"/>
      <c r="Q117" s="424"/>
      <c r="R117" s="424"/>
      <c r="S117" s="86">
        <v>60</v>
      </c>
      <c r="T117" s="86">
        <v>10</v>
      </c>
      <c r="U117" s="86"/>
      <c r="V117" s="65"/>
      <c r="W117" s="66"/>
      <c r="X117" s="66"/>
      <c r="Y117" s="66"/>
      <c r="Z117" s="66"/>
      <c r="AA117" s="86"/>
      <c r="AB117" s="86"/>
      <c r="AC117" s="63"/>
      <c r="AD117" s="87"/>
      <c r="AE117" s="87"/>
      <c r="AF117" s="87"/>
      <c r="AG117" s="66"/>
      <c r="AH117" s="66"/>
      <c r="AI117" s="87"/>
      <c r="AJ117" s="63"/>
      <c r="AK117" s="65"/>
      <c r="AL117" s="159">
        <v>35.6</v>
      </c>
      <c r="AM117" s="180">
        <v>1583</v>
      </c>
      <c r="AN117" s="89">
        <f t="shared" ref="AN117:AN123" si="105">(AM117-AM116)*AQ$1/((C117)/24)</f>
        <v>47.52</v>
      </c>
      <c r="AO117" s="488">
        <f t="shared" ref="AO117:AO123" si="106">AQ$3/AN117</f>
        <v>29.734848484848484</v>
      </c>
      <c r="AP117" s="76">
        <v>697</v>
      </c>
      <c r="AQ117" s="76">
        <f t="shared" si="82"/>
        <v>79703.503125000017</v>
      </c>
      <c r="AR117" s="72">
        <f t="shared" ref="AR117:AR123" si="107">(AQ117-AQ116)/(C117/24)</f>
        <v>543.12187500001164</v>
      </c>
      <c r="AS117" s="161">
        <f t="shared" ref="AS117:AS123" si="108">(AQ117-AQ116)/C117</f>
        <v>22.630078125000484</v>
      </c>
      <c r="AT117" s="72">
        <f>AR117/(AN117*(AVERAGE(D$106,D$99,D$85,D$86,D$92,D$93,D$100,D$116,D$81))*AVERAGE(E$106,E$99,E$85,E$86,E$92,E$93,E$100,E$116,E$81)*0.0001)</f>
        <v>493.64863854682068</v>
      </c>
      <c r="AU117" s="66"/>
      <c r="AV117" s="143">
        <f>AR117/(AN117*AVERAGE(D$106,D$99,D$85,D$86,D$92,D$93,D$100,D$116,D$81)*0.01)</f>
        <v>380.81907159896309</v>
      </c>
      <c r="AW117" s="433">
        <f t="shared" si="98"/>
        <v>0.38437500000000824</v>
      </c>
      <c r="AX117" s="66"/>
      <c r="AY117" s="66"/>
      <c r="AZ117" s="66"/>
      <c r="BA117" s="66"/>
      <c r="BB117" s="66"/>
      <c r="BC117" s="63"/>
      <c r="BD117" s="147">
        <v>25</v>
      </c>
      <c r="BE117" s="147"/>
      <c r="BF117" s="86"/>
      <c r="BG117" s="65"/>
      <c r="BH117" s="66"/>
      <c r="BI117" s="66"/>
      <c r="BJ117" s="66"/>
      <c r="BK117" s="66"/>
      <c r="BL117" s="86"/>
      <c r="BM117" s="86"/>
      <c r="BN117" s="63"/>
      <c r="BO117" s="87"/>
      <c r="BP117" s="87"/>
      <c r="BQ117" s="87"/>
      <c r="BR117" s="66"/>
      <c r="BS117" s="64"/>
      <c r="BT117" s="66"/>
      <c r="BU117" s="67"/>
      <c r="BV117" s="65"/>
      <c r="BW117" s="66">
        <v>51</v>
      </c>
      <c r="BX117" s="66">
        <v>792</v>
      </c>
      <c r="BY117" s="443">
        <f t="shared" ref="BY117:BY123" si="109">(BX117-BX116)*CB$1/((C117)/24)</f>
        <v>18</v>
      </c>
      <c r="BZ117" s="443">
        <f t="shared" ref="BZ117:BZ123" si="110">CB$3/BY117</f>
        <v>41.444444444444443</v>
      </c>
      <c r="CA117" s="66">
        <v>323</v>
      </c>
      <c r="CB117" s="72">
        <f t="shared" si="81"/>
        <v>39143.534375000003</v>
      </c>
      <c r="CC117" s="289">
        <f t="shared" ref="CC117:CC123" si="111">(CB117-CB116)/((C117/24))</f>
        <v>306.640625</v>
      </c>
      <c r="CD117" s="289">
        <f t="shared" ref="CD117:CD123" si="112">(CB117-CB116)/(C117)</f>
        <v>12.776692708333334</v>
      </c>
      <c r="CE117" s="72">
        <f>CC117/(BY117*(AVERAGE(D$106,D$99,D$85,D$86,D$92,D$93,D$100,D$116,D$81))*AVERAGE(E$106,E$99,E$85,E$86,E$92,E$93,E$100,E$116,E$81)*0.0001)</f>
        <v>735.79065366055715</v>
      </c>
      <c r="CF117" s="66"/>
      <c r="CG117" s="72">
        <f>CC117/(BY117*AVERAGE((D$106,D$99,D$85,D$86,D$92,D$93,D$100,D$116,D$81))*0.01)</f>
        <v>567.61650238326615</v>
      </c>
      <c r="CH117" s="433">
        <f t="shared" si="93"/>
        <v>0.41104641420911531</v>
      </c>
      <c r="CI117" s="66"/>
      <c r="CJ117" s="66"/>
      <c r="CK117" s="66"/>
      <c r="CL117" s="66"/>
      <c r="CM117" s="66"/>
      <c r="CN117" s="101"/>
    </row>
    <row r="118" spans="1:92">
      <c r="A118" s="141">
        <f t="shared" si="73"/>
        <v>41273</v>
      </c>
      <c r="B118" s="307">
        <f t="shared" si="83"/>
        <v>0.33333333333333331</v>
      </c>
      <c r="C118" s="304">
        <f t="shared" si="79"/>
        <v>24</v>
      </c>
      <c r="D118" s="65"/>
      <c r="E118" s="66"/>
      <c r="F118" s="66"/>
      <c r="G118" s="66"/>
      <c r="H118" s="66"/>
      <c r="I118" s="66"/>
      <c r="J118" s="86"/>
      <c r="K118" s="86"/>
      <c r="L118" s="63"/>
      <c r="M118" s="86">
        <v>55</v>
      </c>
      <c r="N118" s="66">
        <v>85</v>
      </c>
      <c r="O118" s="261"/>
      <c r="P118" s="465"/>
      <c r="Q118" s="424"/>
      <c r="R118" s="424"/>
      <c r="S118" s="86">
        <v>35</v>
      </c>
      <c r="T118" s="86"/>
      <c r="U118" s="86"/>
      <c r="V118" s="65"/>
      <c r="W118" s="66"/>
      <c r="X118" s="66"/>
      <c r="Y118" s="66"/>
      <c r="Z118" s="66"/>
      <c r="AA118" s="86"/>
      <c r="AB118" s="86"/>
      <c r="AC118" s="63"/>
      <c r="AD118" s="87"/>
      <c r="AE118" s="87"/>
      <c r="AF118" s="87"/>
      <c r="AG118" s="66"/>
      <c r="AH118" s="66"/>
      <c r="AI118" s="87"/>
      <c r="AJ118" s="63"/>
      <c r="AK118" s="65"/>
      <c r="AL118" s="159">
        <v>35.6</v>
      </c>
      <c r="AM118" s="180">
        <v>1612</v>
      </c>
      <c r="AN118" s="89">
        <f t="shared" si="105"/>
        <v>62.64</v>
      </c>
      <c r="AO118" s="488">
        <f t="shared" si="106"/>
        <v>22.557471264367816</v>
      </c>
      <c r="AP118" s="76">
        <v>709</v>
      </c>
      <c r="AQ118" s="76">
        <f t="shared" si="82"/>
        <v>80427.665625000009</v>
      </c>
      <c r="AR118" s="72">
        <f t="shared" si="107"/>
        <v>724.16249999999127</v>
      </c>
      <c r="AS118" s="161">
        <f t="shared" si="108"/>
        <v>30.173437499999636</v>
      </c>
      <c r="AT118" s="72">
        <f t="shared" ref="AT118:AT123" si="113">AR118/(AN118*(AVERAGE(D$106,D$99,D$85,D$86,D$92,D$93,D$100,D$116,D$81))*AVERAGE(E$106,E$99,E$85,E$86,E$92,E$93,E$100,E$116,E$81)*0.0001)</f>
        <v>499.32276082895146</v>
      </c>
      <c r="AU118" s="66"/>
      <c r="AV118" s="143">
        <f t="shared" ref="AV118:AV123" si="114">AR118/(AN118*AVERAGE(D$106,D$99,D$85,D$86,D$92,D$93,D$100,D$116,D$81)*0.01)</f>
        <v>385.19630230698431</v>
      </c>
      <c r="AW118" s="433">
        <f t="shared" si="98"/>
        <v>0.51249999999999385</v>
      </c>
      <c r="AX118" s="66"/>
      <c r="AY118" s="66"/>
      <c r="AZ118" s="66"/>
      <c r="BA118" s="66"/>
      <c r="BB118" s="66"/>
      <c r="BC118" s="63"/>
      <c r="BD118" s="147">
        <v>30</v>
      </c>
      <c r="BE118" s="147"/>
      <c r="BF118" s="86"/>
      <c r="BG118" s="65"/>
      <c r="BH118" s="66"/>
      <c r="BI118" s="66"/>
      <c r="BJ118" s="66"/>
      <c r="BK118" s="66"/>
      <c r="BL118" s="86"/>
      <c r="BM118" s="86"/>
      <c r="BN118" s="63"/>
      <c r="BO118" s="87"/>
      <c r="BP118" s="87"/>
      <c r="BQ118" s="87"/>
      <c r="BR118" s="66"/>
      <c r="BS118" s="64"/>
      <c r="BT118" s="66"/>
      <c r="BU118" s="67"/>
      <c r="BV118" s="65"/>
      <c r="BW118" s="66">
        <v>51</v>
      </c>
      <c r="BX118" s="66">
        <v>800</v>
      </c>
      <c r="BY118" s="443">
        <f t="shared" si="109"/>
        <v>16</v>
      </c>
      <c r="BZ118" s="443">
        <f t="shared" si="110"/>
        <v>46.625</v>
      </c>
      <c r="CA118" s="66">
        <v>327</v>
      </c>
      <c r="CB118" s="72">
        <f t="shared" si="81"/>
        <v>39388.846875000003</v>
      </c>
      <c r="CC118" s="289">
        <f t="shared" si="111"/>
        <v>245.3125</v>
      </c>
      <c r="CD118" s="289">
        <f t="shared" si="112"/>
        <v>10.221354166666666</v>
      </c>
      <c r="CE118" s="72">
        <f t="shared" ref="CE118:CE123" si="115">CC118/(BY118*(AVERAGE(D$106,D$99,D$85,D$86,D$92,D$93,D$100,D$116,D$81))*AVERAGE(E$106,E$99,E$85,E$86,E$92,E$93,E$100,E$116,E$81)*0.0001)</f>
        <v>662.21158829450155</v>
      </c>
      <c r="CF118" s="66"/>
      <c r="CG118" s="72">
        <f>CC118/(BY118*AVERAGE((D$106,D$99,D$85,D$86,D$92,D$93,D$100,D$116,D$81))*0.01)</f>
        <v>510.85485214493957</v>
      </c>
      <c r="CH118" s="433">
        <f t="shared" si="93"/>
        <v>0.3288371313672922</v>
      </c>
      <c r="CI118" s="66"/>
      <c r="CJ118" s="66"/>
      <c r="CK118" s="66"/>
      <c r="CL118" s="66"/>
      <c r="CM118" s="66"/>
      <c r="CN118" s="110"/>
    </row>
    <row r="119" spans="1:92">
      <c r="A119" s="141">
        <f t="shared" si="73"/>
        <v>41274</v>
      </c>
      <c r="B119" s="307">
        <f t="shared" si="83"/>
        <v>0.33333333333333331</v>
      </c>
      <c r="C119" s="304">
        <f t="shared" si="79"/>
        <v>24</v>
      </c>
      <c r="D119" s="65"/>
      <c r="E119" s="66"/>
      <c r="F119" s="66"/>
      <c r="G119" s="66"/>
      <c r="H119" s="66"/>
      <c r="I119" s="66"/>
      <c r="J119" s="86"/>
      <c r="K119" s="86"/>
      <c r="L119" s="63"/>
      <c r="M119" s="86">
        <v>72</v>
      </c>
      <c r="N119" s="66"/>
      <c r="O119" s="261"/>
      <c r="P119" s="465"/>
      <c r="Q119" s="424"/>
      <c r="R119" s="424"/>
      <c r="S119" s="86">
        <v>50</v>
      </c>
      <c r="T119" s="86"/>
      <c r="U119" s="86"/>
      <c r="V119" s="65"/>
      <c r="W119" s="66"/>
      <c r="X119" s="66"/>
      <c r="Y119" s="66"/>
      <c r="Z119" s="66"/>
      <c r="AA119" s="86"/>
      <c r="AB119" s="86"/>
      <c r="AC119" s="63"/>
      <c r="AD119" s="87"/>
      <c r="AE119" s="87"/>
      <c r="AF119" s="87"/>
      <c r="AG119" s="66"/>
      <c r="AH119" s="66"/>
      <c r="AI119" s="87"/>
      <c r="AJ119" s="63"/>
      <c r="AK119" s="65"/>
      <c r="AL119" s="159">
        <v>35.6</v>
      </c>
      <c r="AM119" s="180">
        <v>1637</v>
      </c>
      <c r="AN119" s="89">
        <f t="shared" si="105"/>
        <v>54</v>
      </c>
      <c r="AO119" s="488">
        <f t="shared" si="106"/>
        <v>26.166666666666668</v>
      </c>
      <c r="AP119" s="76">
        <v>720</v>
      </c>
      <c r="AQ119" s="76">
        <f t="shared" si="82"/>
        <v>81091.481250000012</v>
      </c>
      <c r="AR119" s="72">
        <f t="shared" si="107"/>
        <v>663.81562500000291</v>
      </c>
      <c r="AS119" s="161">
        <f t="shared" si="108"/>
        <v>27.65898437500012</v>
      </c>
      <c r="AT119" s="72">
        <f t="shared" si="113"/>
        <v>530.94653568146032</v>
      </c>
      <c r="AU119" s="66"/>
      <c r="AV119" s="143">
        <f t="shared" si="114"/>
        <v>409.59206811976662</v>
      </c>
      <c r="AW119" s="433">
        <f t="shared" si="98"/>
        <v>0.46979166666666872</v>
      </c>
      <c r="AX119" s="66"/>
      <c r="AY119" s="66"/>
      <c r="AZ119" s="66"/>
      <c r="BA119" s="66"/>
      <c r="BB119" s="66"/>
      <c r="BC119" s="63"/>
      <c r="BD119" s="147">
        <v>45</v>
      </c>
      <c r="BE119" s="147"/>
      <c r="BF119" s="86"/>
      <c r="BG119" s="65"/>
      <c r="BH119" s="66"/>
      <c r="BI119" s="66"/>
      <c r="BJ119" s="66"/>
      <c r="BK119" s="66"/>
      <c r="BL119" s="86"/>
      <c r="BM119" s="86"/>
      <c r="BN119" s="63"/>
      <c r="BO119" s="87"/>
      <c r="BP119" s="87"/>
      <c r="BQ119" s="87"/>
      <c r="BR119" s="66"/>
      <c r="BS119" s="64"/>
      <c r="BT119" s="66"/>
      <c r="BU119" s="67"/>
      <c r="BV119" s="65"/>
      <c r="BW119" s="66">
        <v>51</v>
      </c>
      <c r="BX119" s="66">
        <v>824</v>
      </c>
      <c r="BY119" s="443">
        <f t="shared" si="109"/>
        <v>48</v>
      </c>
      <c r="BZ119" s="443">
        <f t="shared" si="110"/>
        <v>15.541666666666666</v>
      </c>
      <c r="CA119" s="66">
        <v>332</v>
      </c>
      <c r="CB119" s="72">
        <f t="shared" si="81"/>
        <v>39695.487500000003</v>
      </c>
      <c r="CC119" s="289">
        <f t="shared" si="111"/>
        <v>306.640625</v>
      </c>
      <c r="CD119" s="289">
        <f t="shared" si="112"/>
        <v>12.776692708333334</v>
      </c>
      <c r="CE119" s="72">
        <f t="shared" si="115"/>
        <v>275.92149512270896</v>
      </c>
      <c r="CF119" s="66"/>
      <c r="CG119" s="72">
        <f>CC119/(BY119*AVERAGE((D$106,D$99,D$85,D$86,D$92,D$93,D$100,D$116,D$81))*0.01)</f>
        <v>212.85618839372484</v>
      </c>
      <c r="CH119" s="433">
        <f t="shared" si="93"/>
        <v>0.41104641420911531</v>
      </c>
      <c r="CI119" s="66"/>
      <c r="CJ119" s="66"/>
      <c r="CK119" s="66"/>
      <c r="CL119" s="66"/>
      <c r="CM119" s="66"/>
      <c r="CN119" s="110"/>
    </row>
    <row r="120" spans="1:92" ht="28.5">
      <c r="A120" s="141">
        <f t="shared" si="73"/>
        <v>41275</v>
      </c>
      <c r="B120" s="307">
        <f t="shared" si="83"/>
        <v>0.33333333333333331</v>
      </c>
      <c r="C120" s="304">
        <f t="shared" si="79"/>
        <v>24</v>
      </c>
      <c r="D120" s="65"/>
      <c r="E120" s="66"/>
      <c r="F120" s="66"/>
      <c r="G120" s="66"/>
      <c r="H120" s="66"/>
      <c r="I120" s="66"/>
      <c r="J120" s="86"/>
      <c r="K120" s="86"/>
      <c r="L120" s="63"/>
      <c r="M120" s="86"/>
      <c r="N120" s="66"/>
      <c r="O120" s="261"/>
      <c r="P120" s="465"/>
      <c r="Q120" s="424"/>
      <c r="R120" s="424"/>
      <c r="S120" s="86"/>
      <c r="T120" s="86"/>
      <c r="U120" s="86"/>
      <c r="V120" s="65"/>
      <c r="W120" s="66"/>
      <c r="X120" s="66"/>
      <c r="Y120" s="66"/>
      <c r="Z120" s="66"/>
      <c r="AA120" s="86"/>
      <c r="AB120" s="86"/>
      <c r="AC120" s="63"/>
      <c r="AD120" s="87"/>
      <c r="AE120" s="87"/>
      <c r="AF120" s="87"/>
      <c r="AG120" s="66"/>
      <c r="AH120" s="66"/>
      <c r="AI120" s="87"/>
      <c r="AJ120" s="63"/>
      <c r="AK120" s="65"/>
      <c r="AL120" s="159">
        <v>35.6</v>
      </c>
      <c r="AM120" s="180">
        <v>1657</v>
      </c>
      <c r="AN120" s="89">
        <f t="shared" si="105"/>
        <v>43.2</v>
      </c>
      <c r="AO120" s="488">
        <f t="shared" si="106"/>
        <v>32.708333333333329</v>
      </c>
      <c r="AP120" s="76">
        <v>731</v>
      </c>
      <c r="AQ120" s="76">
        <f t="shared" si="82"/>
        <v>81755.296875</v>
      </c>
      <c r="AR120" s="72">
        <f t="shared" si="107"/>
        <v>663.81562499998836</v>
      </c>
      <c r="AS120" s="161">
        <f t="shared" si="108"/>
        <v>27.658984374999516</v>
      </c>
      <c r="AT120" s="72">
        <f t="shared" si="113"/>
        <v>663.68316960181085</v>
      </c>
      <c r="AU120" s="66"/>
      <c r="AV120" s="143">
        <f t="shared" si="114"/>
        <v>511.99008514969705</v>
      </c>
      <c r="AW120" s="433">
        <f t="shared" si="98"/>
        <v>0.46979166666665845</v>
      </c>
      <c r="AX120" s="66"/>
      <c r="AY120" s="66"/>
      <c r="AZ120" s="66"/>
      <c r="BA120" s="66"/>
      <c r="BB120" s="66"/>
      <c r="BC120" s="63"/>
      <c r="BD120" s="147"/>
      <c r="BE120" s="147"/>
      <c r="BF120" s="86"/>
      <c r="BG120" s="65"/>
      <c r="BH120" s="66"/>
      <c r="BI120" s="66"/>
      <c r="BJ120" s="66"/>
      <c r="BK120" s="66"/>
      <c r="BL120" s="86"/>
      <c r="BM120" s="86"/>
      <c r="BN120" s="63"/>
      <c r="BO120" s="87"/>
      <c r="BP120" s="87"/>
      <c r="BQ120" s="87"/>
      <c r="BR120" s="66"/>
      <c r="BS120" s="64"/>
      <c r="BT120" s="66"/>
      <c r="BU120" s="67"/>
      <c r="BV120" s="65"/>
      <c r="BW120" s="66">
        <v>51</v>
      </c>
      <c r="BX120" s="66">
        <v>832</v>
      </c>
      <c r="BY120" s="443">
        <f t="shared" si="109"/>
        <v>16</v>
      </c>
      <c r="BZ120" s="443">
        <f t="shared" si="110"/>
        <v>46.625</v>
      </c>
      <c r="CA120" s="66">
        <v>339</v>
      </c>
      <c r="CB120" s="72">
        <f t="shared" si="81"/>
        <v>40124.784375000003</v>
      </c>
      <c r="CC120" s="289">
        <f t="shared" si="111"/>
        <v>429.296875</v>
      </c>
      <c r="CD120" s="289">
        <f t="shared" si="112"/>
        <v>17.887369791666668</v>
      </c>
      <c r="CE120" s="346">
        <f t="shared" si="115"/>
        <v>1158.8702795153777</v>
      </c>
      <c r="CF120" s="66"/>
      <c r="CG120" s="72">
        <f>CC120/(BY120*AVERAGE((D$106,D$99,D$85,D$86,D$92,D$93,D$100,D$116,D$81))*0.01)</f>
        <v>893.99599125364432</v>
      </c>
      <c r="CH120" s="433">
        <f t="shared" si="93"/>
        <v>0.57546497989276135</v>
      </c>
      <c r="CI120" s="66"/>
      <c r="CJ120" s="66"/>
      <c r="CK120" s="66"/>
      <c r="CL120" s="66"/>
      <c r="CM120" s="66"/>
      <c r="CN120" s="113" t="s">
        <v>128</v>
      </c>
    </row>
    <row r="121" spans="1:92">
      <c r="A121" s="141">
        <f t="shared" si="73"/>
        <v>41276</v>
      </c>
      <c r="B121" s="307">
        <f t="shared" si="83"/>
        <v>0.33333333333333331</v>
      </c>
      <c r="C121" s="304">
        <f t="shared" ref="C121:C184" si="116">((A121-A120)+(B121-B120))*24</f>
        <v>24</v>
      </c>
      <c r="D121" s="65"/>
      <c r="E121" s="66"/>
      <c r="F121" s="66"/>
      <c r="G121" s="66"/>
      <c r="H121" s="66"/>
      <c r="I121" s="66"/>
      <c r="J121" s="86"/>
      <c r="K121" s="86"/>
      <c r="L121" s="63"/>
      <c r="M121" s="86">
        <v>50</v>
      </c>
      <c r="N121" s="66">
        <v>85</v>
      </c>
      <c r="O121" s="261"/>
      <c r="P121" s="465"/>
      <c r="Q121" s="424"/>
      <c r="R121" s="424"/>
      <c r="S121" s="86">
        <v>60</v>
      </c>
      <c r="T121" s="86">
        <v>10</v>
      </c>
      <c r="U121" s="86"/>
      <c r="V121" s="65"/>
      <c r="W121" s="66"/>
      <c r="X121" s="66"/>
      <c r="Y121" s="66"/>
      <c r="Z121" s="66"/>
      <c r="AA121" s="86"/>
      <c r="AB121" s="86"/>
      <c r="AC121" s="63"/>
      <c r="AD121" s="87"/>
      <c r="AE121" s="87"/>
      <c r="AF121" s="87"/>
      <c r="AG121" s="66"/>
      <c r="AH121" s="66"/>
      <c r="AI121" s="87"/>
      <c r="AJ121" s="63"/>
      <c r="AK121" s="65"/>
      <c r="AL121" s="159">
        <v>35.6</v>
      </c>
      <c r="AM121" s="180">
        <v>1678</v>
      </c>
      <c r="AN121" s="89">
        <f t="shared" si="105"/>
        <v>45.36</v>
      </c>
      <c r="AO121" s="488">
        <f t="shared" si="106"/>
        <v>31.150793650793652</v>
      </c>
      <c r="AP121" s="76">
        <v>742</v>
      </c>
      <c r="AQ121" s="76">
        <f t="shared" si="82"/>
        <v>82419.112500000017</v>
      </c>
      <c r="AR121" s="72">
        <f t="shared" si="107"/>
        <v>663.81562500001746</v>
      </c>
      <c r="AS121" s="161">
        <f t="shared" si="108"/>
        <v>27.658984375000728</v>
      </c>
      <c r="AT121" s="72">
        <f t="shared" si="113"/>
        <v>632.07920914460954</v>
      </c>
      <c r="AU121" s="66"/>
      <c r="AV121" s="143">
        <f t="shared" si="114"/>
        <v>487.6096049044948</v>
      </c>
      <c r="AW121" s="433">
        <f t="shared" si="98"/>
        <v>0.46979166666667904</v>
      </c>
      <c r="AX121" s="66"/>
      <c r="AY121" s="66"/>
      <c r="AZ121" s="66"/>
      <c r="BA121" s="66"/>
      <c r="BB121" s="66"/>
      <c r="BC121" s="102"/>
      <c r="BD121" s="147">
        <v>55</v>
      </c>
      <c r="BE121" s="147">
        <v>10</v>
      </c>
      <c r="BF121" s="86"/>
      <c r="BG121" s="65"/>
      <c r="BH121" s="66"/>
      <c r="BI121" s="66"/>
      <c r="BJ121" s="66"/>
      <c r="BK121" s="66"/>
      <c r="BL121" s="86"/>
      <c r="BM121" s="86"/>
      <c r="BN121" s="63"/>
      <c r="BO121" s="87"/>
      <c r="BP121" s="87"/>
      <c r="BQ121" s="87"/>
      <c r="BR121" s="66"/>
      <c r="BS121" s="64"/>
      <c r="BT121" s="66"/>
      <c r="BU121" s="67"/>
      <c r="BV121" s="65"/>
      <c r="BW121" s="66">
        <v>51.1</v>
      </c>
      <c r="BX121" s="66">
        <v>839</v>
      </c>
      <c r="BY121" s="443">
        <f t="shared" si="109"/>
        <v>14</v>
      </c>
      <c r="BZ121" s="443">
        <f t="shared" si="110"/>
        <v>53.285714285714285</v>
      </c>
      <c r="CA121" s="66">
        <v>344</v>
      </c>
      <c r="CB121" s="72">
        <f t="shared" si="81"/>
        <v>40431.425000000003</v>
      </c>
      <c r="CC121" s="289">
        <f t="shared" si="111"/>
        <v>306.640625</v>
      </c>
      <c r="CD121" s="289">
        <f t="shared" si="112"/>
        <v>12.776692708333334</v>
      </c>
      <c r="CE121" s="346">
        <f t="shared" si="115"/>
        <v>946.01655470643061</v>
      </c>
      <c r="CF121" s="66"/>
      <c r="CG121" s="72">
        <f>CC121/(BY121*AVERAGE((D$106,D$99,D$85,D$86,D$92,D$93,D$100,D$116,D$81))*0.01)</f>
        <v>729.79264592134211</v>
      </c>
      <c r="CH121" s="433">
        <f t="shared" si="93"/>
        <v>0.41104641420911531</v>
      </c>
      <c r="CI121" s="66"/>
      <c r="CJ121" s="66"/>
      <c r="CK121" s="66"/>
      <c r="CL121" s="66"/>
      <c r="CM121" s="66"/>
      <c r="CN121" s="112"/>
    </row>
    <row r="122" spans="1:92">
      <c r="A122" s="141">
        <f t="shared" si="73"/>
        <v>41277</v>
      </c>
      <c r="B122" s="307">
        <f t="shared" si="83"/>
        <v>0.33333333333333331</v>
      </c>
      <c r="C122" s="304">
        <f t="shared" si="116"/>
        <v>24</v>
      </c>
      <c r="D122" s="65"/>
      <c r="E122" s="66"/>
      <c r="F122" s="66"/>
      <c r="G122" s="66"/>
      <c r="H122" s="66"/>
      <c r="I122" s="66"/>
      <c r="J122" s="86"/>
      <c r="K122" s="86"/>
      <c r="L122" s="63"/>
      <c r="M122" s="86"/>
      <c r="N122" s="66"/>
      <c r="O122" s="261"/>
      <c r="P122" s="465"/>
      <c r="Q122" s="424"/>
      <c r="R122" s="424"/>
      <c r="S122" s="86">
        <v>40</v>
      </c>
      <c r="T122" s="86"/>
      <c r="U122" s="86"/>
      <c r="V122" s="65"/>
      <c r="W122" s="66"/>
      <c r="X122" s="66"/>
      <c r="Y122" s="66"/>
      <c r="Z122" s="66"/>
      <c r="AA122" s="86"/>
      <c r="AB122" s="86"/>
      <c r="AC122" s="63"/>
      <c r="AD122" s="87"/>
      <c r="AE122" s="87"/>
      <c r="AF122" s="87"/>
      <c r="AG122" s="66"/>
      <c r="AH122" s="66"/>
      <c r="AI122" s="87"/>
      <c r="AJ122" s="63"/>
      <c r="AK122" s="65"/>
      <c r="AL122" s="159">
        <v>35.6</v>
      </c>
      <c r="AM122" s="180">
        <v>1706</v>
      </c>
      <c r="AN122" s="89">
        <f t="shared" si="105"/>
        <v>60.480000000000004</v>
      </c>
      <c r="AO122" s="488">
        <f t="shared" si="106"/>
        <v>23.363095238095237</v>
      </c>
      <c r="AP122" s="76">
        <v>752</v>
      </c>
      <c r="AQ122" s="76">
        <f t="shared" si="82"/>
        <v>83022.581250000017</v>
      </c>
      <c r="AR122" s="72">
        <f t="shared" si="107"/>
        <v>603.46875</v>
      </c>
      <c r="AS122" s="161">
        <f t="shared" si="108"/>
        <v>25.14453125</v>
      </c>
      <c r="AT122" s="72">
        <f t="shared" si="113"/>
        <v>430.96309714404055</v>
      </c>
      <c r="AU122" s="66"/>
      <c r="AV122" s="143">
        <f t="shared" si="114"/>
        <v>332.46109425305588</v>
      </c>
      <c r="AW122" s="433">
        <f t="shared" si="98"/>
        <v>0.42708333333333331</v>
      </c>
      <c r="AX122" s="66"/>
      <c r="AY122" s="66"/>
      <c r="AZ122" s="66"/>
      <c r="BA122" s="66"/>
      <c r="BB122" s="66"/>
      <c r="BC122" s="63"/>
      <c r="BD122" s="147">
        <v>30</v>
      </c>
      <c r="BE122" s="147"/>
      <c r="BF122" s="86"/>
      <c r="BG122" s="65"/>
      <c r="BH122" s="66"/>
      <c r="BI122" s="66"/>
      <c r="BJ122" s="66"/>
      <c r="BK122" s="66"/>
      <c r="BL122" s="86"/>
      <c r="BM122" s="86"/>
      <c r="BN122" s="63"/>
      <c r="BO122" s="87"/>
      <c r="BP122" s="87"/>
      <c r="BQ122" s="87"/>
      <c r="BR122" s="66"/>
      <c r="BS122" s="64"/>
      <c r="BT122" s="66"/>
      <c r="BU122" s="67"/>
      <c r="BV122" s="65"/>
      <c r="BW122" s="66">
        <v>51</v>
      </c>
      <c r="BX122" s="66">
        <v>868</v>
      </c>
      <c r="BY122" s="443">
        <f t="shared" si="109"/>
        <v>58</v>
      </c>
      <c r="BZ122" s="443">
        <f t="shared" si="110"/>
        <v>12.862068965517242</v>
      </c>
      <c r="CA122" s="66">
        <v>350</v>
      </c>
      <c r="CB122" s="72">
        <f t="shared" si="81"/>
        <v>40799.393750000003</v>
      </c>
      <c r="CC122" s="289">
        <f t="shared" si="111"/>
        <v>367.96875</v>
      </c>
      <c r="CD122" s="289">
        <f t="shared" si="112"/>
        <v>15.33203125</v>
      </c>
      <c r="CE122" s="346">
        <f t="shared" si="115"/>
        <v>274.01858825979372</v>
      </c>
      <c r="CF122" s="66"/>
      <c r="CG122" s="72">
        <f>CC122/(BY122*AVERAGE((D$106,D$99,D$85,D$86,D$92,D$93,D$100,D$116,D$81))*0.01)</f>
        <v>211.38821468066462</v>
      </c>
      <c r="CH122" s="433">
        <f t="shared" si="93"/>
        <v>0.49325569705093836</v>
      </c>
      <c r="CI122" s="66"/>
      <c r="CJ122" s="66"/>
      <c r="CK122" s="66"/>
      <c r="CL122" s="66"/>
      <c r="CM122" s="66"/>
      <c r="CN122" s="110"/>
    </row>
    <row r="123" spans="1:92" s="337" customFormat="1">
      <c r="A123" s="309">
        <f t="shared" si="73"/>
        <v>41278</v>
      </c>
      <c r="B123" s="310">
        <v>0.31944444444444448</v>
      </c>
      <c r="C123" s="311">
        <f t="shared" si="116"/>
        <v>23.666666666666668</v>
      </c>
      <c r="D123" s="339">
        <v>4.1399999999999997</v>
      </c>
      <c r="E123" s="365">
        <v>72.3</v>
      </c>
      <c r="F123" s="319"/>
      <c r="G123" s="365">
        <v>5.98</v>
      </c>
      <c r="H123" s="319"/>
      <c r="I123" s="319"/>
      <c r="J123" s="317"/>
      <c r="K123" s="317"/>
      <c r="L123" s="320"/>
      <c r="M123" s="317">
        <v>50</v>
      </c>
      <c r="N123" s="319"/>
      <c r="O123" s="316"/>
      <c r="P123" s="465"/>
      <c r="Q123" s="424"/>
      <c r="R123" s="424"/>
      <c r="S123" s="317">
        <v>52</v>
      </c>
      <c r="T123" s="317">
        <v>5</v>
      </c>
      <c r="U123" s="317"/>
      <c r="V123" s="339">
        <v>1.94</v>
      </c>
      <c r="W123" s="365">
        <v>67.489999999999995</v>
      </c>
      <c r="X123" s="319"/>
      <c r="Y123" s="319"/>
      <c r="Z123" s="319"/>
      <c r="AA123" s="317"/>
      <c r="AB123" s="317"/>
      <c r="AC123" s="320"/>
      <c r="AD123" s="391">
        <f>D116*(100-E116)/(100-W123)</f>
        <v>1.5856905567517681</v>
      </c>
      <c r="AE123" s="387">
        <f>D116-V123</f>
        <v>0.7200000000000002</v>
      </c>
      <c r="AF123" s="393">
        <f>100*(AVERAGE(D101,D116,D81,D106,D99,D93,D92,D85,D86)-V123)/AVERAGE(D101,D116,D81,D106,D99,D93,D92,D85,D86)</f>
        <v>35.643199410246964</v>
      </c>
      <c r="AG123" s="393">
        <f>100*(1-((100-AVERAGE(E101,E116,E81,E106,E99,E93,E92,E85,E86))/(100-W123)))</f>
        <v>29.225195666290681</v>
      </c>
      <c r="AH123" s="387">
        <f>E116-W123</f>
        <v>13.13000000000001</v>
      </c>
      <c r="AI123" s="393">
        <f>100*(1-((V123*W123)/(AVERAGE(D101,D116,D81,D106,D99,D93,D92,D85,D86)*AVERAGE(E101,E116,E81,E106,E99,E93,E92,E85,E86))))</f>
        <v>43.585169649855828</v>
      </c>
      <c r="AJ123" s="389">
        <f>100*100*((AVERAGE(E101,E116,E81,E106,E99,E93,E92,E85,E86)-W123)/((100-W123)*AVERAGE(E101,E116,E81,E106,E99,E93,E92,E85,E86)))</f>
        <v>37.959181578914759</v>
      </c>
      <c r="AK123" s="318">
        <v>7.09</v>
      </c>
      <c r="AL123" s="470">
        <v>33.700000000000003</v>
      </c>
      <c r="AM123" s="441">
        <v>1734</v>
      </c>
      <c r="AN123" s="327">
        <f t="shared" si="105"/>
        <v>61.331830985915495</v>
      </c>
      <c r="AO123" s="489">
        <f t="shared" si="106"/>
        <v>23.038607804232804</v>
      </c>
      <c r="AP123" s="348">
        <v>764</v>
      </c>
      <c r="AQ123" s="348">
        <f t="shared" si="82"/>
        <v>83746.743750000009</v>
      </c>
      <c r="AR123" s="313">
        <f t="shared" si="107"/>
        <v>734.36197183097704</v>
      </c>
      <c r="AS123" s="463">
        <f t="shared" si="108"/>
        <v>30.598415492957376</v>
      </c>
      <c r="AT123" s="313">
        <f t="shared" si="113"/>
        <v>517.15571657284249</v>
      </c>
      <c r="AU123" s="313">
        <f>(AQ123-AQ94)/(AVERAGE(AN94:AN123)*((AVERAGE(D106,D101,D99,D93,D92,D86,D81,D85,D116)*AVERAGE(E106,E101,E99,E93,E92,E86,E81,E85,E116))-(V123*W123))*0.0001*(SUM(C94:C123)/24))</f>
        <v>871.15871803772438</v>
      </c>
      <c r="AV123" s="328">
        <f t="shared" si="114"/>
        <v>398.95331310366225</v>
      </c>
      <c r="AW123" s="477">
        <f t="shared" si="98"/>
        <v>0.51971830985914869</v>
      </c>
      <c r="AX123" s="319">
        <v>67.3</v>
      </c>
      <c r="AY123" s="319">
        <v>32.299999999999997</v>
      </c>
      <c r="AZ123" s="319">
        <v>0</v>
      </c>
      <c r="BA123" s="319">
        <v>12</v>
      </c>
      <c r="BB123" s="319">
        <v>45</v>
      </c>
      <c r="BC123" s="320"/>
      <c r="BD123" s="368"/>
      <c r="BE123" s="330"/>
      <c r="BF123" s="317"/>
      <c r="BG123" s="339">
        <v>1.93</v>
      </c>
      <c r="BH123" s="365">
        <v>66.47</v>
      </c>
      <c r="BI123" s="319"/>
      <c r="BJ123" s="319"/>
      <c r="BK123" s="319"/>
      <c r="BL123" s="317"/>
      <c r="BM123" s="317"/>
      <c r="BN123" s="320"/>
      <c r="BO123" s="391">
        <f>D116*(100-E116)/(100-BH123)</f>
        <v>1.5374530271398743</v>
      </c>
      <c r="BP123" s="387">
        <f>D116-BG123</f>
        <v>0.7300000000000002</v>
      </c>
      <c r="BQ123" s="392">
        <f>100*(AVERAGE(D101,D116,D81,D106,D99,D93,D92,D85,D86)-BG123)/AVERAGE(D101,D116,D81,D106,D99,D93,D92,D85,D86)</f>
        <v>35.974935495761152</v>
      </c>
      <c r="BR123" s="393">
        <f>100*(1-((100-AVERAGE(E101,E116,E81,E106,E99,E93,E92,E85,E86))/(100-BH123)))</f>
        <v>31.378201941876217</v>
      </c>
      <c r="BS123" s="387">
        <f>E116-BH123</f>
        <v>14.150000000000006</v>
      </c>
      <c r="BT123" s="392">
        <f>100*(1-((BG123*BH123)/(AVERAGE(D101,D116,D81,D106,D99,D93,D92,D85,D86)*AVERAGE(E101,E116,E81,E106,E99,E93,E92,E85,E86))))</f>
        <v>44.72418989440223</v>
      </c>
      <c r="BU123" s="389">
        <f>100*100*((AVERAGE(E101,E116,E81,E106,E99,E93,E92,E85,E86)-BH123)/((100-BH123)*AVERAGE(E101,E116,E81,E106,E99,E93,E92,E85,E86)))</f>
        <v>40.755616445893615</v>
      </c>
      <c r="BV123" s="318">
        <v>7.24</v>
      </c>
      <c r="BW123" s="365">
        <v>47.8</v>
      </c>
      <c r="BX123" s="319">
        <v>884</v>
      </c>
      <c r="BY123" s="443">
        <f t="shared" si="109"/>
        <v>32.450704225352112</v>
      </c>
      <c r="BZ123" s="443">
        <f t="shared" si="110"/>
        <v>22.988715277777779</v>
      </c>
      <c r="CA123" s="319">
        <v>356</v>
      </c>
      <c r="CB123" s="313">
        <f t="shared" si="81"/>
        <v>41167.362500000003</v>
      </c>
      <c r="CC123" s="289">
        <f t="shared" si="111"/>
        <v>373.1514084507042</v>
      </c>
      <c r="CD123" s="289">
        <f t="shared" si="112"/>
        <v>15.547975352112676</v>
      </c>
      <c r="CE123" s="72">
        <f t="shared" si="115"/>
        <v>496.65869122087611</v>
      </c>
      <c r="CF123" s="313">
        <f>(CB123-CB94)/(AVERAGE(BY94:BY123)*((AVERAGE(D106,D101,D99,D93,D92,D86,D81,D85,D116)*AVERAGE(E106,E101,E99,E93,E92,E86,E81,E85,E116))-(BG123*BH123))*0.0001*(SUM(C94:C123)/24))</f>
        <v>786.13005691031606</v>
      </c>
      <c r="CG123" s="72">
        <f>CC123/(BY123*AVERAGE((D$106,D$99,D$85,D$86,D$92,D$93,D$100,D$116,D$81))*0.01)</f>
        <v>383.14113910870464</v>
      </c>
      <c r="CH123" s="433">
        <f t="shared" si="93"/>
        <v>0.50020296038968393</v>
      </c>
      <c r="CI123" s="319">
        <v>63.9</v>
      </c>
      <c r="CJ123" s="319">
        <v>32.9</v>
      </c>
      <c r="CK123" s="319">
        <v>0</v>
      </c>
      <c r="CL123" s="319">
        <v>28</v>
      </c>
      <c r="CM123" s="319">
        <v>135</v>
      </c>
      <c r="CN123" s="442"/>
    </row>
    <row r="124" spans="1:92">
      <c r="A124" s="141">
        <f t="shared" si="73"/>
        <v>41279</v>
      </c>
      <c r="B124" s="307">
        <v>0.33333333333333331</v>
      </c>
      <c r="C124" s="304">
        <f t="shared" si="116"/>
        <v>24.333333333333332</v>
      </c>
      <c r="D124" s="65"/>
      <c r="E124" s="66"/>
      <c r="F124" s="66"/>
      <c r="G124" s="66"/>
      <c r="H124" s="66"/>
      <c r="I124" s="66"/>
      <c r="J124" s="86"/>
      <c r="K124" s="86"/>
      <c r="L124" s="63"/>
      <c r="M124" s="86"/>
      <c r="N124" s="66"/>
      <c r="O124" s="261"/>
      <c r="P124" s="465"/>
      <c r="Q124" s="424"/>
      <c r="R124" s="424"/>
      <c r="S124" s="86"/>
      <c r="T124" s="86"/>
      <c r="U124" s="86"/>
      <c r="V124" s="65"/>
      <c r="W124" s="66"/>
      <c r="X124" s="66"/>
      <c r="Y124" s="66"/>
      <c r="Z124" s="66"/>
      <c r="AA124" s="86"/>
      <c r="AB124" s="86"/>
      <c r="AC124" s="63"/>
      <c r="AD124" s="87"/>
      <c r="AE124" s="87"/>
      <c r="AF124" s="87"/>
      <c r="AG124" s="66"/>
      <c r="AH124" s="66"/>
      <c r="AI124" s="87"/>
      <c r="AJ124" s="63"/>
      <c r="AK124" s="65"/>
      <c r="AL124" s="66">
        <v>35.6</v>
      </c>
      <c r="AM124" s="66">
        <v>1760</v>
      </c>
      <c r="AN124" s="89">
        <f>(AM124-AM123)*AQ$1/((C124)/24)</f>
        <v>55.390684931506854</v>
      </c>
      <c r="AO124" s="488">
        <f>AQ$3/AN124</f>
        <v>25.509704415954413</v>
      </c>
      <c r="AP124" s="76">
        <v>775</v>
      </c>
      <c r="AQ124" s="76">
        <f t="shared" si="82"/>
        <v>84410.559375000012</v>
      </c>
      <c r="AR124" s="72">
        <f>(AQ124-AQ123)/(C124/24)</f>
        <v>654.72226027397551</v>
      </c>
      <c r="AS124" s="161">
        <f>(AQ124-AQ123)/C124</f>
        <v>27.280094178082312</v>
      </c>
      <c r="AT124" s="72">
        <f>AR124/(AN124*(AVERAGE(D$106,D$99,D$85,D$86,D$92,D$93,D$100,D$116,D$123))*AVERAGE(E$106,E$99,E$85,E$86,E$92,E$93,E$100,E$116,E$123)*0.0001)</f>
        <v>494.82656786186442</v>
      </c>
      <c r="AU124" s="66"/>
      <c r="AV124" s="143">
        <f>AR124/(AN124*AVERAGE(D$106,D$99,D$85,D$86,D$92,D$93,D$100,D$116,D$123)*0.01)</f>
        <v>378.69695771678312</v>
      </c>
      <c r="AW124" s="511">
        <f t="shared" si="98"/>
        <v>0.4633561643835637</v>
      </c>
      <c r="AX124" s="66"/>
      <c r="AY124" s="66"/>
      <c r="AZ124" s="66"/>
      <c r="BA124" s="66"/>
      <c r="BB124" s="66"/>
      <c r="BC124" s="63"/>
      <c r="BD124" s="64"/>
      <c r="BE124" s="147"/>
      <c r="BF124" s="86"/>
      <c r="BG124" s="65"/>
      <c r="BH124" s="66"/>
      <c r="BI124" s="66"/>
      <c r="BJ124" s="66"/>
      <c r="BK124" s="66"/>
      <c r="BL124" s="86"/>
      <c r="BM124" s="86"/>
      <c r="BN124" s="63"/>
      <c r="BO124" s="87"/>
      <c r="BP124" s="87"/>
      <c r="BQ124" s="87"/>
      <c r="BR124" s="66"/>
      <c r="BS124" s="64"/>
      <c r="BT124" s="66"/>
      <c r="BU124" s="67"/>
      <c r="BV124" s="65"/>
      <c r="BW124" s="66">
        <v>51</v>
      </c>
      <c r="BX124" s="66">
        <v>896</v>
      </c>
      <c r="BY124" s="443">
        <f>(BX124-BX123)*CB$1/((C124)/24)</f>
        <v>23.671232876712331</v>
      </c>
      <c r="BZ124" s="443">
        <f>CB$3/BY124</f>
        <v>31.515046296296294</v>
      </c>
      <c r="CA124" s="66">
        <v>361</v>
      </c>
      <c r="CB124" s="72">
        <f t="shared" si="81"/>
        <v>41474.003125000003</v>
      </c>
      <c r="CC124" s="289">
        <f>(CB124-CB123)/((C124/24))</f>
        <v>302.4400684931507</v>
      </c>
      <c r="CD124" s="289">
        <f>(CB124-CB123)/(C124)</f>
        <v>12.601669520547945</v>
      </c>
      <c r="CE124" s="72">
        <f>CC124/(BY124*(AVERAGE(D$106,D$99,D$85,D$86,D$92,D$93,D$100,D$116,D$123))*AVERAGE(E$106,E$99,E$85,E$86,E$92,E$93,E$100,E$116,E$123)*0.0001)</f>
        <v>534.87350738948521</v>
      </c>
      <c r="CF124" s="66"/>
      <c r="CG124" s="72">
        <f>CC124/(BY124*AVERAGE((D$106,D$99,D$85,D$86,D$92,D$93,D$100,D$116,D$123))*0.01)</f>
        <v>409.34538112401538</v>
      </c>
      <c r="CH124" s="433">
        <f t="shared" si="93"/>
        <v>0.40541564141173014</v>
      </c>
      <c r="CI124" s="66"/>
      <c r="CJ124" s="66"/>
      <c r="CK124" s="66"/>
      <c r="CL124" s="66"/>
      <c r="CM124" s="66"/>
      <c r="CN124" s="110"/>
    </row>
    <row r="125" spans="1:92" s="69" customFormat="1" ht="28.5">
      <c r="A125" s="141">
        <f t="shared" si="73"/>
        <v>41280</v>
      </c>
      <c r="B125" s="307">
        <v>0.33333333333333331</v>
      </c>
      <c r="C125" s="304">
        <f t="shared" si="116"/>
        <v>24</v>
      </c>
      <c r="D125" s="65"/>
      <c r="E125" s="66"/>
      <c r="F125" s="72"/>
      <c r="G125" s="66"/>
      <c r="H125" s="66"/>
      <c r="I125" s="76"/>
      <c r="J125" s="256"/>
      <c r="K125" s="256"/>
      <c r="L125" s="63"/>
      <c r="M125" s="86"/>
      <c r="N125" s="66"/>
      <c r="O125" s="261"/>
      <c r="P125" s="465"/>
      <c r="Q125" s="424"/>
      <c r="R125" s="424"/>
      <c r="S125" s="86"/>
      <c r="T125" s="86"/>
      <c r="U125" s="86"/>
      <c r="V125" s="65"/>
      <c r="W125" s="66"/>
      <c r="X125" s="76"/>
      <c r="Y125" s="66"/>
      <c r="Z125" s="76"/>
      <c r="AA125" s="256"/>
      <c r="AB125" s="256"/>
      <c r="AC125" s="63"/>
      <c r="AD125" s="93"/>
      <c r="AE125" s="83"/>
      <c r="AF125" s="88"/>
      <c r="AG125" s="85"/>
      <c r="AH125" s="75"/>
      <c r="AI125" s="83"/>
      <c r="AJ125" s="195"/>
      <c r="AK125" s="65"/>
      <c r="AL125" s="66">
        <v>35.6</v>
      </c>
      <c r="AM125" s="66">
        <v>1790</v>
      </c>
      <c r="AN125" s="89">
        <f>(AM125-AM124)*AQ$1/((C125)/24)</f>
        <v>64.800000000000011</v>
      </c>
      <c r="AO125" s="488">
        <f>AQ$3/AN125</f>
        <v>21.80555555555555</v>
      </c>
      <c r="AP125" s="66">
        <v>787</v>
      </c>
      <c r="AQ125" s="76">
        <f t="shared" si="82"/>
        <v>85134.721875000017</v>
      </c>
      <c r="AR125" s="72">
        <f>(AQ125-AQ124)/(C125/24)</f>
        <v>724.16250000000582</v>
      </c>
      <c r="AS125" s="161">
        <f>(AQ125-AQ124)/C125</f>
        <v>30.173437500000244</v>
      </c>
      <c r="AT125" s="72">
        <f>AR125/(AN125*(AVERAGE(D$106,D$99,D$85,D$86,D$92,D$93,D$100,D$116,D$123))*AVERAGE(E$106,E$99,E$85,E$86,E$92,E$93,E$100,E$116,E$123)*0.0001)</f>
        <v>467.83602779667342</v>
      </c>
      <c r="AU125" s="85"/>
      <c r="AV125" s="143">
        <f>AR125/(AN125*AVERAGE(D$106,D$99,D$85,D$86,D$92,D$93,D$100,D$116,D$123)*0.01)</f>
        <v>358.04076002314162</v>
      </c>
      <c r="AW125" s="511">
        <f t="shared" si="98"/>
        <v>0.51250000000000417</v>
      </c>
      <c r="AX125" s="66"/>
      <c r="AY125" s="66"/>
      <c r="AZ125" s="66"/>
      <c r="BA125" s="66"/>
      <c r="BB125" s="66"/>
      <c r="BC125" s="102"/>
      <c r="BD125" s="64"/>
      <c r="BE125" s="147"/>
      <c r="BF125" s="86"/>
      <c r="BG125" s="65"/>
      <c r="BH125" s="66"/>
      <c r="BI125" s="76"/>
      <c r="BJ125" s="66"/>
      <c r="BK125" s="76"/>
      <c r="BL125" s="256"/>
      <c r="BM125" s="256"/>
      <c r="BN125" s="63"/>
      <c r="BO125" s="93"/>
      <c r="BP125" s="83"/>
      <c r="BQ125" s="88"/>
      <c r="BR125" s="85"/>
      <c r="BS125" s="194"/>
      <c r="BT125" s="75"/>
      <c r="BU125" s="179"/>
      <c r="BV125" s="65"/>
      <c r="BW125" s="66">
        <v>51</v>
      </c>
      <c r="BX125" s="66">
        <v>901</v>
      </c>
      <c r="BY125" s="443">
        <f>(BX125-BX124)*CB$1/((C125)/24)</f>
        <v>10</v>
      </c>
      <c r="BZ125" s="443">
        <f>CB$3/BY125</f>
        <v>74.599999999999994</v>
      </c>
      <c r="CA125" s="66">
        <v>366</v>
      </c>
      <c r="CB125" s="72">
        <f t="shared" si="81"/>
        <v>41780.643750000003</v>
      </c>
      <c r="CC125" s="289">
        <f>(CB125-CB124)/((C125/24))</f>
        <v>306.640625</v>
      </c>
      <c r="CD125" s="289">
        <f>(CB125-CB124)/(C125)</f>
        <v>12.776692708333334</v>
      </c>
      <c r="CE125" s="346">
        <f>CC125/(BY125*(AVERAGE(D$106,D$99,D$85,D$86,D$92,D$93,D$100,D$116,D$123))*AVERAGE(E$106,E$99,E$85,E$86,E$92,E$93,E$100,E$116,E$123)*0.0001)</f>
        <v>1283.6964177347645</v>
      </c>
      <c r="CF125" s="161"/>
      <c r="CG125" s="72">
        <f>CC125/(BY125*AVERAGE((D$106,D$99,D$85,D$86,D$92,D$93,D$100,D$116,D$123))*0.01)</f>
        <v>982.42891469763708</v>
      </c>
      <c r="CH125" s="433">
        <f t="shared" si="93"/>
        <v>0.41104641420911531</v>
      </c>
      <c r="CI125" s="66"/>
      <c r="CJ125" s="66"/>
      <c r="CK125" s="66"/>
      <c r="CL125" s="66"/>
      <c r="CM125" s="66"/>
      <c r="CN125" s="106" t="s">
        <v>131</v>
      </c>
    </row>
    <row r="126" spans="1:92">
      <c r="A126" s="141">
        <f t="shared" si="73"/>
        <v>41281</v>
      </c>
      <c r="B126" s="307">
        <f>B125</f>
        <v>0.33333333333333331</v>
      </c>
      <c r="C126" s="304">
        <f t="shared" si="116"/>
        <v>24</v>
      </c>
      <c r="D126" s="65"/>
      <c r="E126" s="66"/>
      <c r="F126" s="66"/>
      <c r="G126" s="66"/>
      <c r="H126" s="66"/>
      <c r="I126" s="66"/>
      <c r="J126" s="86"/>
      <c r="K126" s="86"/>
      <c r="L126" s="63"/>
      <c r="M126" s="86"/>
      <c r="N126" s="66"/>
      <c r="O126" s="261"/>
      <c r="P126" s="465"/>
      <c r="Q126" s="424"/>
      <c r="R126" s="424"/>
      <c r="S126" s="86"/>
      <c r="T126" s="86"/>
      <c r="U126" s="86"/>
      <c r="V126" s="65"/>
      <c r="W126" s="66"/>
      <c r="X126" s="66"/>
      <c r="Y126" s="66"/>
      <c r="Z126" s="66"/>
      <c r="AA126" s="86"/>
      <c r="AB126" s="86"/>
      <c r="AC126" s="63"/>
      <c r="AD126" s="87"/>
      <c r="AE126" s="87"/>
      <c r="AF126" s="87"/>
      <c r="AG126" s="66"/>
      <c r="AH126" s="66"/>
      <c r="AI126" s="87"/>
      <c r="AJ126" s="63"/>
      <c r="AK126" s="65"/>
      <c r="AL126" s="66">
        <v>35.6</v>
      </c>
      <c r="AM126" s="66">
        <v>1819</v>
      </c>
      <c r="AN126" s="89">
        <f>(AM126-AM125)*AQ$1/((C126)/24)</f>
        <v>62.64</v>
      </c>
      <c r="AO126" s="488">
        <f>AQ$3/AN126</f>
        <v>22.557471264367816</v>
      </c>
      <c r="AP126" s="76">
        <v>798</v>
      </c>
      <c r="AQ126" s="76">
        <f t="shared" si="82"/>
        <v>85798.537500000006</v>
      </c>
      <c r="AR126" s="72">
        <f>(AQ126-AQ125)/(C126/24)</f>
        <v>663.81562499998836</v>
      </c>
      <c r="AS126" s="161">
        <f>(AQ126-AQ125)/C126</f>
        <v>27.658984374999516</v>
      </c>
      <c r="AT126" s="72">
        <f>AR126/(AN126*(AVERAGE(D$106,D$99,D$85,D$86,D$92,D$93,D$100,D$116,D$123))*AVERAGE(E$106,E$99,E$85,E$86,E$92,E$93,E$100,E$116,E$123)*0.0001)</f>
        <v>443.63761256579977</v>
      </c>
      <c r="AU126" s="66"/>
      <c r="AV126" s="143">
        <f>AR126/(AN126*AVERAGE(D$106,D$99,D$85,D$86,D$92,D$93,D$100,D$116,D$123)*0.01)</f>
        <v>339.52141036676363</v>
      </c>
      <c r="AW126" s="511">
        <f t="shared" si="98"/>
        <v>0.46979166666665845</v>
      </c>
      <c r="AX126" s="66"/>
      <c r="AY126" s="66"/>
      <c r="AZ126" s="66"/>
      <c r="BA126" s="66"/>
      <c r="BB126" s="66"/>
      <c r="BC126" s="63"/>
      <c r="BD126" s="64"/>
      <c r="BE126" s="147"/>
      <c r="BF126" s="86"/>
      <c r="BG126" s="65"/>
      <c r="BH126" s="66"/>
      <c r="BI126" s="66"/>
      <c r="BJ126" s="66"/>
      <c r="BK126" s="66"/>
      <c r="BL126" s="86"/>
      <c r="BM126" s="86"/>
      <c r="BN126" s="63"/>
      <c r="BO126" s="87"/>
      <c r="BP126" s="87"/>
      <c r="BQ126" s="87"/>
      <c r="BR126" s="66"/>
      <c r="BS126" s="64"/>
      <c r="BT126" s="66"/>
      <c r="BU126" s="67"/>
      <c r="BV126" s="65"/>
      <c r="BW126" s="66">
        <v>51</v>
      </c>
      <c r="BX126" s="66">
        <v>930</v>
      </c>
      <c r="BY126" s="443">
        <f>(BX126-BX125)*CB$1/((C126)/24)</f>
        <v>58</v>
      </c>
      <c r="BZ126" s="443">
        <f>CB$3/BY126</f>
        <v>12.862068965517242</v>
      </c>
      <c r="CA126" s="66">
        <v>372</v>
      </c>
      <c r="CB126" s="72">
        <f t="shared" si="81"/>
        <v>42148.612500000003</v>
      </c>
      <c r="CC126" s="289">
        <f>(CB126-CB125)/((C126/24))</f>
        <v>367.96875</v>
      </c>
      <c r="CD126" s="289">
        <f>(CB126-CB125)/(C126)</f>
        <v>15.33203125</v>
      </c>
      <c r="CE126" s="346">
        <f>CC126/(BY126*(AVERAGE(D$106,D$99,D$85,D$86,D$92,D$93,D$100,D$116,D$123))*AVERAGE(E$106,E$99,E$85,E$86,E$92,E$93,E$100,E$116,E$123)*0.0001)</f>
        <v>265.59236228995127</v>
      </c>
      <c r="CF126" s="66"/>
      <c r="CG126" s="72">
        <f>CC126/(BY126*AVERAGE((D$106,D$99,D$85,D$86,D$92,D$93,D$100,D$116,D$123))*0.01)</f>
        <v>203.26115476502832</v>
      </c>
      <c r="CH126" s="433">
        <f t="shared" si="93"/>
        <v>0.49325569705093836</v>
      </c>
      <c r="CI126" s="66"/>
      <c r="CJ126" s="66"/>
      <c r="CK126" s="66"/>
      <c r="CL126" s="66"/>
      <c r="CM126" s="66"/>
      <c r="CN126" s="110"/>
    </row>
    <row r="127" spans="1:92" s="337" customFormat="1" ht="28.5">
      <c r="A127" s="309">
        <f t="shared" si="73"/>
        <v>41282</v>
      </c>
      <c r="B127" s="307">
        <v>0.44444444444444442</v>
      </c>
      <c r="C127" s="304">
        <f t="shared" si="116"/>
        <v>26.666666666666668</v>
      </c>
      <c r="D127" s="339">
        <v>3.24</v>
      </c>
      <c r="E127" s="319">
        <v>82.94</v>
      </c>
      <c r="F127" s="441">
        <v>39000</v>
      </c>
      <c r="G127" s="319"/>
      <c r="H127" s="319">
        <v>47.5</v>
      </c>
      <c r="I127" s="441">
        <v>2979</v>
      </c>
      <c r="J127" s="317">
        <v>1550</v>
      </c>
      <c r="K127" s="317">
        <v>10.6</v>
      </c>
      <c r="L127" s="320">
        <v>204</v>
      </c>
      <c r="M127" s="317"/>
      <c r="N127" s="319"/>
      <c r="O127" s="316"/>
      <c r="P127" s="465"/>
      <c r="Q127" s="424"/>
      <c r="R127" s="424"/>
      <c r="S127" s="317"/>
      <c r="T127" s="317"/>
      <c r="U127" s="317"/>
      <c r="V127" s="339">
        <v>1.92</v>
      </c>
      <c r="W127" s="365">
        <v>65.760000000000005</v>
      </c>
      <c r="X127" s="348">
        <v>23800</v>
      </c>
      <c r="Y127" s="330">
        <v>37.9</v>
      </c>
      <c r="Z127" s="348">
        <v>1088</v>
      </c>
      <c r="AA127" s="350">
        <v>264</v>
      </c>
      <c r="AB127" s="350">
        <v>28.9</v>
      </c>
      <c r="AC127" s="356">
        <v>226</v>
      </c>
      <c r="AD127" s="391">
        <f>D123*(100-E123)/(100-W127)</f>
        <v>3.3492406542056079</v>
      </c>
      <c r="AE127" s="387">
        <f>D123-V127</f>
        <v>2.2199999999999998</v>
      </c>
      <c r="AF127" s="393">
        <f>100*(AVERAGE(D101,D116,D123,D106,D99,D93,D92,D85,D86)-V127)/AVERAGE(D101,D116,D123,D106,D99,D93,D92,D85,D86)</f>
        <v>38.483446066215734</v>
      </c>
      <c r="AG127" s="393">
        <f>100*(1-((100-AVERAGE(E101,E116,E123,E106,E99,E93,E92,E85,E86))/(100-W127)))</f>
        <v>31.211059190031122</v>
      </c>
      <c r="AH127" s="387">
        <f>E123-W127</f>
        <v>6.539999999999992</v>
      </c>
      <c r="AI127" s="393">
        <f>100*(1-((V127*W127)/(AVERAGE(D101,D116,D123,D106,D99,D93,D92,D85,D86)*AVERAGE(E101,E116,E123,E106,E99,E93,E92,E85,E86))))</f>
        <v>47.082995726620027</v>
      </c>
      <c r="AJ127" s="389">
        <f>100*100*((AVERAGE(E101,E116,E123,E106,E99,E93,E92,E85,E86)-W127)/((100-W127)*AVERAGE(E101,E116,E123,E106,E99,E93,E92,E85,E86)))</f>
        <v>40.827233613889142</v>
      </c>
      <c r="AK127" s="318">
        <v>7.09</v>
      </c>
      <c r="AL127" s="470">
        <v>33.5</v>
      </c>
      <c r="AM127" s="319">
        <v>1851</v>
      </c>
      <c r="AN127" s="89">
        <f>(AM127-AM126)*AQ$1/((C127)/24)</f>
        <v>62.207999999999998</v>
      </c>
      <c r="AO127" s="488">
        <f>AQ$3/AN127</f>
        <v>22.71412037037037</v>
      </c>
      <c r="AP127" s="348">
        <v>811</v>
      </c>
      <c r="AQ127" s="348">
        <f t="shared" si="82"/>
        <v>86583.046875</v>
      </c>
      <c r="AR127" s="72">
        <f>(AQ127-AQ126)/(C127/24)</f>
        <v>706.05843749999474</v>
      </c>
      <c r="AS127" s="161">
        <f>(AQ127-AQ126)/C127</f>
        <v>29.41910156249978</v>
      </c>
      <c r="AT127" s="72">
        <f>AR127/(AN127*(AVERAGE(D$106,D$99,D$85,D$86,D$92,D$93,D$100,D$116,D$123))*AVERAGE(E$106,E$99,E$85,E$86,E$92,E$93,E$100,E$116,E$123)*0.0001)</f>
        <v>475.14596573098913</v>
      </c>
      <c r="AU127" s="313">
        <f>(AQ127-AQ98)/(AVERAGE(AN98:AN127)*((AVERAGE(D106,D101,D99,D93,D92,D86,D123,D85,D116)*AVERAGE(E106,E101,E99,E93,E92,E86,E123,E85,E116))-(V127*W127))*0.0001*(SUM(C98:C127)/24))</f>
        <v>785.80238862094848</v>
      </c>
      <c r="AV127" s="143">
        <f>AR127/(AN127*AVERAGE(D$106,D$99,D$85,D$86,D$92,D$93,D$100,D$116,D$123)*0.01)</f>
        <v>363.63514689849762</v>
      </c>
      <c r="AW127" s="477">
        <f t="shared" si="98"/>
        <v>0.49968749999999629</v>
      </c>
      <c r="AX127" s="319">
        <v>68.599999999999994</v>
      </c>
      <c r="AY127" s="319">
        <v>31.3</v>
      </c>
      <c r="AZ127" s="319">
        <v>0</v>
      </c>
      <c r="BA127" s="319">
        <v>30</v>
      </c>
      <c r="BB127" s="319">
        <v>130</v>
      </c>
      <c r="BC127" s="415" t="s">
        <v>132</v>
      </c>
      <c r="BD127" s="368"/>
      <c r="BE127" s="330"/>
      <c r="BF127" s="317"/>
      <c r="BG127" s="339">
        <v>1.9</v>
      </c>
      <c r="BH127" s="365">
        <v>62.87</v>
      </c>
      <c r="BI127" s="348">
        <v>24100</v>
      </c>
      <c r="BJ127" s="319">
        <v>38.799999999999997</v>
      </c>
      <c r="BK127" s="348">
        <v>2502</v>
      </c>
      <c r="BL127" s="317">
        <v>468</v>
      </c>
      <c r="BM127" s="317">
        <v>32.700000000000003</v>
      </c>
      <c r="BN127" s="320">
        <v>151</v>
      </c>
      <c r="BO127" s="391">
        <f>D123*(100-E123)/(100-BH127)</f>
        <v>3.0885537301373551</v>
      </c>
      <c r="BP127" s="387">
        <f>D123-BG127</f>
        <v>2.2399999999999998</v>
      </c>
      <c r="BQ127" s="392">
        <f>100*(AVERAGE(D101,D116,D123,D106,D99,D93,D92,D85,D86)-BG127)/AVERAGE(D101,D116,D123,D106,D99,D93,D92,D85,D86)</f>
        <v>39.124243503025987</v>
      </c>
      <c r="BR127" s="393">
        <f>100*(1-((100-AVERAGE(E101,E116,E123,E106,E99,E93,E92,E85,E86))/(100-BH127)))</f>
        <v>36.565221294550668</v>
      </c>
      <c r="BS127" s="387">
        <f>E123-BH127</f>
        <v>9.43</v>
      </c>
      <c r="BT127" s="392">
        <f>100*(1-((BG127*BH127)/(AVERAGE(D101,D116,D123,D106,D99,D93,D92,D85,D86)*AVERAGE(E101,E116,E123,E106,E99,E93,E92,E85,E86))))</f>
        <v>49.93556975279381</v>
      </c>
      <c r="BU127" s="389">
        <f>100*100*((AVERAGE(E101,E116,E123,E106,E99,E93,E92,E85,E86)-BH127)/((100-BH127)*AVERAGE(E101,E116,E123,E106,E99,E93,E92,E85,E86)))</f>
        <v>47.831021140512775</v>
      </c>
      <c r="BV127" s="318">
        <v>7.26</v>
      </c>
      <c r="BW127" s="365">
        <v>47.4</v>
      </c>
      <c r="BX127" s="319">
        <v>949</v>
      </c>
      <c r="BY127" s="443">
        <f>(BX127-BX126)*CB$1/((C127)/24)</f>
        <v>34.199999999999996</v>
      </c>
      <c r="BZ127" s="443">
        <f>CB$3/BY127</f>
        <v>21.812865497076025</v>
      </c>
      <c r="CA127" s="319">
        <v>379</v>
      </c>
      <c r="CB127" s="313">
        <f t="shared" si="81"/>
        <v>42577.909375000003</v>
      </c>
      <c r="CC127" s="289">
        <f>(CB127-CB126)/((C127/24))</f>
        <v>386.3671875</v>
      </c>
      <c r="CD127" s="289">
        <f>(CB127-CB126)/(C127)</f>
        <v>16.0986328125</v>
      </c>
      <c r="CE127" s="72">
        <f>CC127/(BY127*(AVERAGE(D$106,D$99,D$85,D$86,D$92,D$93,D$100,D$116,D$123))*AVERAGE(E$106,E$99,E$85,E$86,E$92,E$93,E$100,E$116,E$123)*0.0001)</f>
        <v>472.94078548122911</v>
      </c>
      <c r="CF127" s="313">
        <f>(CB127-CB98)/(AVERAGE(BY98:BY127)*((AVERAGE(D106,D101,D99,D93,D92,D86,D123,D85,D123)*AVERAGE(E106,E101,E99,E93,E92,E86,E123,E85,E116))-(BG127*BH127))*0.0001*(SUM(C98:C127)/24))</f>
        <v>619.74074727408185</v>
      </c>
      <c r="CG127" s="72">
        <f>CC127/(BY127*AVERAGE((D$106,D$99,D$85,D$86,D$92,D$93,D$100,D$116,D$123))*0.01)</f>
        <v>361.94749488860316</v>
      </c>
      <c r="CH127" s="433">
        <f t="shared" si="93"/>
        <v>0.51791848190348522</v>
      </c>
      <c r="CI127" s="319">
        <v>66.8</v>
      </c>
      <c r="CJ127" s="319">
        <v>33.1</v>
      </c>
      <c r="CK127" s="319">
        <v>0</v>
      </c>
      <c r="CL127" s="319">
        <v>14</v>
      </c>
      <c r="CM127" s="319">
        <v>135</v>
      </c>
      <c r="CN127" s="442" t="s">
        <v>134</v>
      </c>
    </row>
    <row r="128" spans="1:92" s="69" customFormat="1">
      <c r="A128" s="141">
        <f t="shared" si="73"/>
        <v>41283</v>
      </c>
      <c r="B128" s="307">
        <v>0.32291666666666669</v>
      </c>
      <c r="C128" s="304">
        <f t="shared" si="116"/>
        <v>21.083333333333336</v>
      </c>
      <c r="D128" s="65"/>
      <c r="E128" s="66"/>
      <c r="F128" s="66"/>
      <c r="G128" s="66"/>
      <c r="H128" s="66"/>
      <c r="I128" s="66"/>
      <c r="J128" s="86"/>
      <c r="K128" s="86"/>
      <c r="L128" s="63"/>
      <c r="M128" s="86">
        <v>85</v>
      </c>
      <c r="N128" s="66"/>
      <c r="O128" s="261"/>
      <c r="P128" s="465"/>
      <c r="Q128" s="424"/>
      <c r="R128" s="424"/>
      <c r="S128" s="86"/>
      <c r="T128" s="86"/>
      <c r="U128" s="86"/>
      <c r="V128" s="65"/>
      <c r="W128" s="66"/>
      <c r="X128" s="76"/>
      <c r="Y128" s="66"/>
      <c r="Z128" s="66"/>
      <c r="AA128" s="86"/>
      <c r="AB128" s="86"/>
      <c r="AC128" s="63"/>
      <c r="AD128" s="93"/>
      <c r="AE128" s="83"/>
      <c r="AF128" s="88"/>
      <c r="AG128" s="85"/>
      <c r="AH128" s="75"/>
      <c r="AI128" s="83"/>
      <c r="AJ128" s="195"/>
      <c r="AK128" s="65"/>
      <c r="AL128" s="66">
        <v>35.6</v>
      </c>
      <c r="AM128" s="66">
        <v>1851</v>
      </c>
      <c r="AN128" s="89"/>
      <c r="AO128" s="488"/>
      <c r="AP128" s="66">
        <v>816</v>
      </c>
      <c r="AQ128" s="490">
        <f>((AP128-AP$55)*AQ$2)+AQ$55</f>
        <v>86884.78125</v>
      </c>
      <c r="AR128" s="72">
        <f>(AQ128-AQ127)/(C128/24)</f>
        <v>343.47628458498019</v>
      </c>
      <c r="AS128" s="161">
        <f>(AQ128-AQ127)/C128</f>
        <v>14.311511857707508</v>
      </c>
      <c r="AT128" s="72"/>
      <c r="AU128" s="85"/>
      <c r="AV128" s="143"/>
      <c r="AW128" s="511">
        <f t="shared" si="98"/>
        <v>0.24308300395256913</v>
      </c>
      <c r="AX128" s="66"/>
      <c r="AY128" s="66"/>
      <c r="AZ128" s="66"/>
      <c r="BA128" s="66"/>
      <c r="BB128" s="66"/>
      <c r="BC128" s="63" t="s">
        <v>133</v>
      </c>
      <c r="BD128" s="64"/>
      <c r="BE128" s="147"/>
      <c r="BF128" s="86"/>
      <c r="BG128" s="65"/>
      <c r="BH128" s="66"/>
      <c r="BI128" s="76"/>
      <c r="BJ128" s="66"/>
      <c r="BK128" s="76"/>
      <c r="BL128" s="86"/>
      <c r="BM128" s="86"/>
      <c r="BN128" s="63"/>
      <c r="BO128" s="93"/>
      <c r="BP128" s="83"/>
      <c r="BQ128" s="88"/>
      <c r="BR128" s="85"/>
      <c r="BS128" s="194"/>
      <c r="BT128" s="75"/>
      <c r="BU128" s="179"/>
      <c r="BV128" s="65"/>
      <c r="BW128" s="66">
        <v>51</v>
      </c>
      <c r="BX128" s="66">
        <v>949</v>
      </c>
      <c r="BY128" s="443"/>
      <c r="BZ128" s="443"/>
      <c r="CA128" s="66">
        <v>383</v>
      </c>
      <c r="CB128" s="72">
        <f t="shared" si="81"/>
        <v>42823.221875000003</v>
      </c>
      <c r="CC128" s="289">
        <f>(CB128-CB127)/((C128/24))</f>
        <v>279.2490118577075</v>
      </c>
      <c r="CD128" s="289">
        <f>(CB128-CB127)/(C128)</f>
        <v>11.635375494071145</v>
      </c>
      <c r="CE128" s="72"/>
      <c r="CF128" s="161"/>
      <c r="CG128" s="72"/>
      <c r="CH128" s="433">
        <f t="shared" si="93"/>
        <v>0.37432843412561329</v>
      </c>
      <c r="CI128" s="66"/>
      <c r="CJ128" s="66"/>
      <c r="CK128" s="66"/>
      <c r="CL128" s="66"/>
      <c r="CM128" s="66"/>
      <c r="CN128" s="111" t="s">
        <v>133</v>
      </c>
    </row>
    <row r="129" spans="1:111">
      <c r="A129" s="141">
        <f t="shared" si="73"/>
        <v>41284</v>
      </c>
      <c r="B129" s="307">
        <f>B126</f>
        <v>0.33333333333333331</v>
      </c>
      <c r="C129" s="304">
        <f t="shared" si="116"/>
        <v>24.249999999999996</v>
      </c>
      <c r="D129" s="65"/>
      <c r="E129" s="66"/>
      <c r="F129" s="66"/>
      <c r="G129" s="66"/>
      <c r="H129" s="66"/>
      <c r="I129" s="66"/>
      <c r="J129" s="86"/>
      <c r="K129" s="86"/>
      <c r="L129" s="63"/>
      <c r="M129" s="86"/>
      <c r="N129" s="66"/>
      <c r="O129" s="261"/>
      <c r="P129" s="465"/>
      <c r="Q129" s="424"/>
      <c r="R129" s="424"/>
      <c r="S129" s="86"/>
      <c r="T129" s="86"/>
      <c r="U129" s="86"/>
      <c r="V129" s="65"/>
      <c r="W129" s="66"/>
      <c r="X129" s="66"/>
      <c r="Y129" s="66"/>
      <c r="Z129" s="66"/>
      <c r="AA129" s="86"/>
      <c r="AB129" s="86"/>
      <c r="AC129" s="63"/>
      <c r="AD129" s="87"/>
      <c r="AE129" s="87"/>
      <c r="AF129" s="87"/>
      <c r="AG129" s="66"/>
      <c r="AH129" s="66"/>
      <c r="AI129" s="87"/>
      <c r="AJ129" s="63"/>
      <c r="AK129" s="65"/>
      <c r="AL129" s="66">
        <v>35.6</v>
      </c>
      <c r="AM129" s="66">
        <v>1882</v>
      </c>
      <c r="AN129" s="89">
        <f t="shared" ref="AN129:AN134" si="117">(AM129-AM128)*AQ$1/((C129)/24)</f>
        <v>66.269690721649496</v>
      </c>
      <c r="AO129" s="488">
        <f t="shared" ref="AO129:AO134" si="118">AQ$3/AN129</f>
        <v>21.321964605734763</v>
      </c>
      <c r="AP129" s="76">
        <v>831</v>
      </c>
      <c r="AQ129" s="490">
        <f t="shared" ref="AQ129:AQ141" si="119">((AP129-AP$55)*AQ$2)+AQ$55</f>
        <v>87789.984375</v>
      </c>
      <c r="AR129" s="72">
        <f t="shared" ref="AR129:AR135" si="120">(AQ129-AQ128)/(C129/24)</f>
        <v>895.87113402061868</v>
      </c>
      <c r="AS129" s="161">
        <f t="shared" ref="AS129:AS135" si="121">(AQ129-AQ128)/C129</f>
        <v>37.327963917525778</v>
      </c>
      <c r="AT129" s="72">
        <f>AR129/(AN129*(AVERAGE(D$106,D$99,D$127,D$86,D$92,D$93,D$100,D$116,D$123))*AVERAGE(E$106,E$99,E$127,E$86,E$92,E$93,E$100,E$116,E$123)*0.0001)</f>
        <v>557.72869146583992</v>
      </c>
      <c r="AU129" s="143"/>
      <c r="AV129" s="143">
        <f>AR129/(AN129*AVERAGE(D$106,D$99,D$127,D$86,D$92,D$93,D$100,D$116,D$123)*0.01)</f>
        <v>430.69901037585157</v>
      </c>
      <c r="AW129" s="511">
        <f t="shared" si="98"/>
        <v>0.63402061855670111</v>
      </c>
      <c r="AX129" s="143"/>
      <c r="AY129" s="143"/>
      <c r="AZ129" s="143"/>
      <c r="BA129" s="143"/>
      <c r="BB129" s="143"/>
      <c r="BC129" s="63"/>
      <c r="BD129" s="64"/>
      <c r="BE129" s="147"/>
      <c r="BF129" s="86"/>
      <c r="BG129" s="65"/>
      <c r="BH129" s="66"/>
      <c r="BI129" s="66"/>
      <c r="BJ129" s="66"/>
      <c r="BK129" s="66"/>
      <c r="BL129" s="86"/>
      <c r="BM129" s="86"/>
      <c r="BN129" s="63"/>
      <c r="BO129" s="87"/>
      <c r="BP129" s="87"/>
      <c r="BQ129" s="87"/>
      <c r="BR129" s="66"/>
      <c r="BS129" s="64"/>
      <c r="BT129" s="66"/>
      <c r="BU129" s="67"/>
      <c r="BV129" s="65"/>
      <c r="BW129" s="66">
        <v>51.1</v>
      </c>
      <c r="BX129" s="66">
        <v>973</v>
      </c>
      <c r="BY129" s="443">
        <f t="shared" ref="BY129:BY135" si="122">(BX129-BX128)*CB$1/((C129)/24)</f>
        <v>47.505154639175267</v>
      </c>
      <c r="BZ129" s="443">
        <f t="shared" ref="BZ129:BZ135" si="123">CB$3/BY129</f>
        <v>15.703559027777775</v>
      </c>
      <c r="CA129" s="66">
        <v>391</v>
      </c>
      <c r="CB129" s="72">
        <f t="shared" si="81"/>
        <v>43313.846875000003</v>
      </c>
      <c r="CC129" s="289">
        <f t="shared" ref="CC129:CC135" si="124">(CB129-CB128)/((C129/24))</f>
        <v>485.56701030927843</v>
      </c>
      <c r="CD129" s="289">
        <f t="shared" ref="CD129:CD135" si="125">(CB129-CB128)/(C129)</f>
        <v>20.231958762886602</v>
      </c>
      <c r="CE129" s="72">
        <f>CC129/(BY129*(AVERAGE(D$106,D$99,D$127,D$86,D$92,D$93,D$100,D$116,D$123))*AVERAGE(E$106,E$99,E$127,E$86,E$92,E$93,E$100,E$116,E$123)*0.0001)</f>
        <v>421.69730330343998</v>
      </c>
      <c r="CF129" s="66"/>
      <c r="CG129" s="72">
        <f>CC129/(BY129*AVERAGE((D$106,D$99,D$127,D$86,D$92,D$93,D$100,D$116,D$123))*0.01)</f>
        <v>325.65047125979021</v>
      </c>
      <c r="CH129" s="433">
        <f t="shared" si="93"/>
        <v>0.65089411569608369</v>
      </c>
      <c r="CI129" s="66"/>
      <c r="CJ129" s="66"/>
      <c r="CK129" s="66"/>
      <c r="CL129" s="66"/>
      <c r="CM129" s="66"/>
      <c r="CN129" s="110"/>
    </row>
    <row r="130" spans="1:111">
      <c r="A130" s="141">
        <f t="shared" si="73"/>
        <v>41285</v>
      </c>
      <c r="B130" s="307">
        <f>B129</f>
        <v>0.33333333333333331</v>
      </c>
      <c r="C130" s="304">
        <f t="shared" si="116"/>
        <v>24</v>
      </c>
      <c r="D130" s="65"/>
      <c r="E130" s="66"/>
      <c r="F130" s="66"/>
      <c r="G130" s="66"/>
      <c r="H130" s="66"/>
      <c r="I130" s="66"/>
      <c r="J130" s="86"/>
      <c r="K130" s="86"/>
      <c r="L130" s="63"/>
      <c r="M130" s="86"/>
      <c r="N130" s="66"/>
      <c r="O130" s="261"/>
      <c r="P130" s="465"/>
      <c r="Q130" s="424"/>
      <c r="R130" s="424"/>
      <c r="S130" s="86"/>
      <c r="T130" s="86"/>
      <c r="U130" s="86"/>
      <c r="V130" s="65"/>
      <c r="W130" s="66"/>
      <c r="X130" s="66"/>
      <c r="Y130" s="66"/>
      <c r="Z130" s="66"/>
      <c r="AA130" s="86"/>
      <c r="AB130" s="86"/>
      <c r="AC130" s="63"/>
      <c r="AD130" s="87"/>
      <c r="AE130" s="87"/>
      <c r="AF130" s="87"/>
      <c r="AG130" s="66"/>
      <c r="AH130" s="66"/>
      <c r="AI130" s="87"/>
      <c r="AJ130" s="63"/>
      <c r="AK130" s="65"/>
      <c r="AL130" s="66">
        <v>35.6</v>
      </c>
      <c r="AM130" s="542">
        <v>1908</v>
      </c>
      <c r="AN130" s="543">
        <f t="shared" si="117"/>
        <v>56.160000000000004</v>
      </c>
      <c r="AO130" s="544">
        <f t="shared" si="118"/>
        <v>25.160256410256409</v>
      </c>
      <c r="AP130" s="545">
        <v>848</v>
      </c>
      <c r="AQ130" s="545">
        <f t="shared" si="119"/>
        <v>88815.881250000006</v>
      </c>
      <c r="AR130" s="546">
        <f t="shared" si="120"/>
        <v>1025.8968750000058</v>
      </c>
      <c r="AS130" s="547">
        <f t="shared" si="121"/>
        <v>42.74570312500024</v>
      </c>
      <c r="AT130" s="546">
        <f>AR130/(AN130*(AVERAGE(D$106,D$99,D$127,D$86,D$92,D$93,D$100,D$116,D$123))*AVERAGE(E$106,E$99,E$127,E$86,E$92,E$93,E$100,E$116,E$123)*0.0001)</f>
        <v>753.64877026281886</v>
      </c>
      <c r="AU130" s="548"/>
      <c r="AV130" s="548">
        <f>AR130/(AN130*AVERAGE(D$106,D$99,D$127,D$86,D$92,D$93,D$100,D$116,D$123)*0.01)</f>
        <v>581.99584222583348</v>
      </c>
      <c r="AW130" s="549">
        <f t="shared" si="98"/>
        <v>0.7260416666666708</v>
      </c>
      <c r="AX130" s="143"/>
      <c r="AY130" s="143"/>
      <c r="AZ130" s="143"/>
      <c r="BA130" s="143"/>
      <c r="BB130" s="143"/>
      <c r="BC130" s="102"/>
      <c r="BD130" s="64"/>
      <c r="BE130" s="147"/>
      <c r="BF130" s="86"/>
      <c r="BG130" s="65"/>
      <c r="BH130" s="66"/>
      <c r="BI130" s="66"/>
      <c r="BJ130" s="66"/>
      <c r="BK130" s="66"/>
      <c r="BL130" s="86"/>
      <c r="BM130" s="86"/>
      <c r="BN130" s="63"/>
      <c r="BO130" s="87"/>
      <c r="BP130" s="87"/>
      <c r="BQ130" s="87"/>
      <c r="BR130" s="66"/>
      <c r="BS130" s="64"/>
      <c r="BT130" s="66"/>
      <c r="BU130" s="67"/>
      <c r="BV130" s="65"/>
      <c r="BW130" s="66">
        <v>51.1</v>
      </c>
      <c r="BX130" s="66">
        <v>988</v>
      </c>
      <c r="BY130" s="443">
        <f t="shared" si="122"/>
        <v>30</v>
      </c>
      <c r="BZ130" s="443">
        <f t="shared" si="123"/>
        <v>24.866666666666667</v>
      </c>
      <c r="CA130" s="66">
        <v>402</v>
      </c>
      <c r="CB130" s="72">
        <f t="shared" si="81"/>
        <v>43988.456250000003</v>
      </c>
      <c r="CC130" s="289">
        <f t="shared" si="124"/>
        <v>674.609375</v>
      </c>
      <c r="CD130" s="289">
        <f t="shared" si="125"/>
        <v>28.108723958333332</v>
      </c>
      <c r="CE130" s="72">
        <f t="shared" ref="CE130:CE137" si="126">CC130/(BY130*(AVERAGE(D$106,D$99,D$127,D$86,D$92,D$93,D$100,D$116,D$123))*AVERAGE(E$106,E$99,E$127,E$86,E$92,E$93,E$100,E$116,E$123)*0.0001)</f>
        <v>927.73406726756798</v>
      </c>
      <c r="CF130" s="66"/>
      <c r="CG130" s="72">
        <f>CC130/(BY130*AVERAGE((D$106,D$99,D$127,D$86,D$92,D$93,D$100,D$116,D$123))*0.01)</f>
        <v>716.4310367715384</v>
      </c>
      <c r="CH130" s="433">
        <f t="shared" si="93"/>
        <v>0.90430211126005366</v>
      </c>
      <c r="CI130" s="66"/>
      <c r="CJ130" s="66"/>
      <c r="CK130" s="66"/>
      <c r="CL130" s="66"/>
      <c r="CM130" s="66"/>
      <c r="CN130" s="112"/>
    </row>
    <row r="131" spans="1:111">
      <c r="A131" s="141">
        <f t="shared" si="73"/>
        <v>41286</v>
      </c>
      <c r="B131" s="307">
        <f>B130</f>
        <v>0.33333333333333331</v>
      </c>
      <c r="C131" s="304">
        <f t="shared" si="116"/>
        <v>24</v>
      </c>
      <c r="D131" s="65"/>
      <c r="E131" s="66"/>
      <c r="F131" s="66"/>
      <c r="G131" s="66"/>
      <c r="H131" s="66"/>
      <c r="I131" s="66"/>
      <c r="J131" s="86"/>
      <c r="K131" s="86"/>
      <c r="L131" s="63"/>
      <c r="M131" s="86"/>
      <c r="N131" s="66"/>
      <c r="O131" s="261"/>
      <c r="P131" s="465"/>
      <c r="Q131" s="424"/>
      <c r="R131" s="424"/>
      <c r="S131" s="86"/>
      <c r="T131" s="86"/>
      <c r="U131" s="86"/>
      <c r="V131" s="65"/>
      <c r="W131" s="66"/>
      <c r="X131" s="66"/>
      <c r="Y131" s="66"/>
      <c r="Z131" s="66"/>
      <c r="AA131" s="86"/>
      <c r="AB131" s="86"/>
      <c r="AC131" s="63"/>
      <c r="AD131" s="87"/>
      <c r="AE131" s="87"/>
      <c r="AF131" s="87"/>
      <c r="AG131" s="66"/>
      <c r="AH131" s="66"/>
      <c r="AI131" s="87"/>
      <c r="AJ131" s="63"/>
      <c r="AK131" s="65"/>
      <c r="AL131" s="66">
        <v>35.6</v>
      </c>
      <c r="AM131" s="546">
        <v>1929</v>
      </c>
      <c r="AN131" s="543">
        <f t="shared" si="117"/>
        <v>45.36</v>
      </c>
      <c r="AO131" s="544">
        <f t="shared" si="118"/>
        <v>31.150793650793652</v>
      </c>
      <c r="AP131" s="545">
        <v>862</v>
      </c>
      <c r="AQ131" s="545">
        <f t="shared" si="119"/>
        <v>89660.737500000017</v>
      </c>
      <c r="AR131" s="546">
        <f t="shared" si="120"/>
        <v>844.85625000001164</v>
      </c>
      <c r="AS131" s="547">
        <f t="shared" si="121"/>
        <v>35.202343750000487</v>
      </c>
      <c r="AT131" s="546">
        <f>AR131/(AN131*(AVERAGE(D$106,D$99,D$127,D$86,D$92,D$93,D$100,D$116,D$123))*AVERAGE(E$106,E$99,E$127,E$86,E$92,E$93,E$100,E$116,E$123)*0.0001)</f>
        <v>768.42619713072349</v>
      </c>
      <c r="AU131" s="548"/>
      <c r="AV131" s="548">
        <f>AR131/(AN131*AVERAGE(D$106,D$99,D$127,D$86,D$92,D$93,D$100,D$116,D$123)*0.01)</f>
        <v>593.40752540673702</v>
      </c>
      <c r="AW131" s="549">
        <f t="shared" si="98"/>
        <v>0.59791666666667487</v>
      </c>
      <c r="AX131" s="143"/>
      <c r="AY131" s="143"/>
      <c r="AZ131" s="143"/>
      <c r="BA131" s="143"/>
      <c r="BB131" s="143"/>
      <c r="BC131" s="63"/>
      <c r="BD131" s="64"/>
      <c r="BE131" s="147"/>
      <c r="BF131" s="86"/>
      <c r="BG131" s="65"/>
      <c r="BH131" s="66"/>
      <c r="BI131" s="66"/>
      <c r="BJ131" s="66"/>
      <c r="BK131" s="66"/>
      <c r="BL131" s="86"/>
      <c r="BM131" s="86"/>
      <c r="BN131" s="63"/>
      <c r="BO131" s="87"/>
      <c r="BP131" s="87"/>
      <c r="BQ131" s="87"/>
      <c r="BR131" s="66"/>
      <c r="BS131" s="64"/>
      <c r="BT131" s="66"/>
      <c r="BU131" s="67"/>
      <c r="BV131" s="65"/>
      <c r="BW131" s="66">
        <v>51</v>
      </c>
      <c r="BX131" s="72">
        <v>1002</v>
      </c>
      <c r="BY131" s="443">
        <f t="shared" si="122"/>
        <v>28</v>
      </c>
      <c r="BZ131" s="443">
        <f t="shared" si="123"/>
        <v>26.642857142857142</v>
      </c>
      <c r="CA131" s="66">
        <v>410</v>
      </c>
      <c r="CB131" s="72">
        <f t="shared" si="81"/>
        <v>44479.081250000003</v>
      </c>
      <c r="CC131" s="289">
        <f t="shared" si="124"/>
        <v>490.625</v>
      </c>
      <c r="CD131" s="289">
        <f t="shared" si="125"/>
        <v>20.442708333333332</v>
      </c>
      <c r="CE131" s="72">
        <f t="shared" si="126"/>
        <v>722.90966280589714</v>
      </c>
      <c r="CF131" s="66"/>
      <c r="CG131" s="72">
        <f>CC131/(BY131*AVERAGE((D$106,D$99,D$127,D$86,D$92,D$93,D$100,D$116,D$123))*0.01)</f>
        <v>558.25795073106895</v>
      </c>
      <c r="CH131" s="433">
        <f t="shared" si="93"/>
        <v>0.6576742627345844</v>
      </c>
      <c r="CI131" s="66"/>
      <c r="CJ131" s="66"/>
      <c r="CK131" s="66"/>
      <c r="CL131" s="66"/>
      <c r="CM131" s="66"/>
      <c r="CN131" s="110"/>
      <c r="CQ131" t="s">
        <v>63</v>
      </c>
    </row>
    <row r="132" spans="1:111">
      <c r="A132" s="141">
        <f t="shared" si="73"/>
        <v>41287</v>
      </c>
      <c r="B132" s="307">
        <f>B131</f>
        <v>0.33333333333333331</v>
      </c>
      <c r="C132" s="304">
        <f t="shared" si="116"/>
        <v>24</v>
      </c>
      <c r="D132" s="65"/>
      <c r="E132" s="66"/>
      <c r="F132" s="66"/>
      <c r="G132" s="66"/>
      <c r="H132" s="66"/>
      <c r="I132" s="66"/>
      <c r="J132" s="86"/>
      <c r="K132" s="86"/>
      <c r="L132" s="63"/>
      <c r="M132" s="86"/>
      <c r="N132" s="66"/>
      <c r="O132" s="261"/>
      <c r="P132" s="465"/>
      <c r="Q132" s="424"/>
      <c r="R132" s="424"/>
      <c r="S132" s="86"/>
      <c r="T132" s="86"/>
      <c r="U132" s="86"/>
      <c r="V132" s="65"/>
      <c r="W132" s="66"/>
      <c r="X132" s="66"/>
      <c r="Y132" s="66"/>
      <c r="Z132" s="66"/>
      <c r="AA132" s="86"/>
      <c r="AB132" s="86"/>
      <c r="AC132" s="63"/>
      <c r="AD132" s="87"/>
      <c r="AE132" s="87"/>
      <c r="AF132" s="87"/>
      <c r="AG132" s="66"/>
      <c r="AH132" s="66"/>
      <c r="AI132" s="64"/>
      <c r="AJ132" s="63"/>
      <c r="AK132" s="65"/>
      <c r="AL132" s="66">
        <v>35.6</v>
      </c>
      <c r="AM132" s="546">
        <v>1933</v>
      </c>
      <c r="AN132" s="543">
        <f t="shared" si="117"/>
        <v>8.64</v>
      </c>
      <c r="AO132" s="544">
        <f t="shared" si="118"/>
        <v>163.54166666666666</v>
      </c>
      <c r="AP132" s="545">
        <v>870</v>
      </c>
      <c r="AQ132" s="545">
        <f t="shared" si="119"/>
        <v>90143.512500000012</v>
      </c>
      <c r="AR132" s="546">
        <f t="shared" si="120"/>
        <v>482.77499999999418</v>
      </c>
      <c r="AS132" s="547">
        <f t="shared" si="121"/>
        <v>20.115624999999756</v>
      </c>
      <c r="AT132" s="546"/>
      <c r="AU132" s="542"/>
      <c r="AV132" s="548"/>
      <c r="AW132" s="549">
        <f t="shared" si="98"/>
        <v>0.34166666666666257</v>
      </c>
      <c r="AX132" s="66"/>
      <c r="AY132" s="66"/>
      <c r="AZ132" s="66"/>
      <c r="BA132" s="66"/>
      <c r="BB132" s="66"/>
      <c r="BC132" s="63"/>
      <c r="BD132" s="64"/>
      <c r="BE132" s="147"/>
      <c r="BF132" s="86"/>
      <c r="BG132" s="65"/>
      <c r="BH132" s="66"/>
      <c r="BI132" s="66"/>
      <c r="BJ132" s="66"/>
      <c r="BK132" s="66"/>
      <c r="BL132" s="86"/>
      <c r="BM132" s="86"/>
      <c r="BN132" s="63"/>
      <c r="BO132" s="87"/>
      <c r="BP132" s="87"/>
      <c r="BQ132" s="87"/>
      <c r="BR132" s="66"/>
      <c r="BS132" s="64"/>
      <c r="BT132" s="66"/>
      <c r="BU132" s="67"/>
      <c r="BV132" s="65"/>
      <c r="BW132" s="66">
        <v>51</v>
      </c>
      <c r="BX132" s="72">
        <v>1020</v>
      </c>
      <c r="BY132" s="443">
        <f t="shared" si="122"/>
        <v>36</v>
      </c>
      <c r="BZ132" s="443">
        <f t="shared" si="123"/>
        <v>20.722222222222221</v>
      </c>
      <c r="CA132" s="66">
        <v>417</v>
      </c>
      <c r="CB132" s="72">
        <f t="shared" si="81"/>
        <v>44908.378125000003</v>
      </c>
      <c r="CC132" s="289">
        <f t="shared" si="124"/>
        <v>429.296875</v>
      </c>
      <c r="CD132" s="289">
        <f t="shared" si="125"/>
        <v>17.887369791666668</v>
      </c>
      <c r="CE132" s="72">
        <f t="shared" si="126"/>
        <v>491.98018718734653</v>
      </c>
      <c r="CF132" s="66"/>
      <c r="CG132" s="72">
        <f>CC132/(BY132*AVERAGE((D$106,D$99,D$127,D$86,D$92,D$93,D$100,D$116,D$123))*0.01)</f>
        <v>379.92554980308853</v>
      </c>
      <c r="CH132" s="433">
        <f t="shared" si="93"/>
        <v>0.57546497989276135</v>
      </c>
      <c r="CI132" s="66"/>
      <c r="CJ132" s="66"/>
      <c r="CK132" s="66"/>
      <c r="CL132" s="66"/>
      <c r="CM132" s="66"/>
      <c r="CN132" s="110"/>
      <c r="CT132" t="s">
        <v>40</v>
      </c>
      <c r="CX132" t="s">
        <v>40</v>
      </c>
      <c r="DG132" t="s">
        <v>40</v>
      </c>
    </row>
    <row r="133" spans="1:111" s="337" customFormat="1" ht="26.25" thickBot="1">
      <c r="A133" s="309">
        <f t="shared" si="73"/>
        <v>41288</v>
      </c>
      <c r="B133" s="310">
        <f>B132</f>
        <v>0.33333333333333331</v>
      </c>
      <c r="C133" s="311">
        <f t="shared" si="116"/>
        <v>24</v>
      </c>
      <c r="D133" s="318">
        <v>3.2</v>
      </c>
      <c r="E133" s="319">
        <v>77.900000000000006</v>
      </c>
      <c r="F133" s="441">
        <v>36200</v>
      </c>
      <c r="G133" s="319"/>
      <c r="H133" s="319"/>
      <c r="I133" s="441">
        <v>3666</v>
      </c>
      <c r="J133" s="317"/>
      <c r="K133" s="317"/>
      <c r="L133" s="320"/>
      <c r="M133" s="317"/>
      <c r="N133" s="319"/>
      <c r="O133" s="316"/>
      <c r="P133" s="465"/>
      <c r="Q133" s="424"/>
      <c r="R133" s="424"/>
      <c r="S133" s="317"/>
      <c r="T133" s="317"/>
      <c r="U133" s="317"/>
      <c r="V133" s="318">
        <v>1.9</v>
      </c>
      <c r="W133" s="319">
        <v>64.8</v>
      </c>
      <c r="X133" s="348">
        <v>23700</v>
      </c>
      <c r="Y133" s="319"/>
      <c r="Z133" s="348">
        <v>1175</v>
      </c>
      <c r="AA133" s="317"/>
      <c r="AB133" s="317"/>
      <c r="AC133" s="320"/>
      <c r="AD133" s="366"/>
      <c r="AE133" s="366"/>
      <c r="AF133" s="366"/>
      <c r="AG133" s="319"/>
      <c r="AH133" s="319"/>
      <c r="AI133" s="368"/>
      <c r="AJ133" s="320"/>
      <c r="AK133" s="318"/>
      <c r="AL133" s="319">
        <v>35.6</v>
      </c>
      <c r="AM133" s="546">
        <v>1933</v>
      </c>
      <c r="AN133" s="543"/>
      <c r="AO133" s="544"/>
      <c r="AP133" s="545">
        <v>874</v>
      </c>
      <c r="AQ133" s="545">
        <f t="shared" si="119"/>
        <v>90384.900000000009</v>
      </c>
      <c r="AR133" s="546">
        <f t="shared" si="120"/>
        <v>241.38749999999709</v>
      </c>
      <c r="AS133" s="547">
        <f t="shared" si="121"/>
        <v>10.057812499999878</v>
      </c>
      <c r="AT133" s="545"/>
      <c r="AU133" s="546">
        <f>(AQ133-AQ104)/(AVERAGE(AN104:AN133)*((AVERAGE(D116,D106,D101,D92,D127,D91,D123)*AVERAGE(E116,E106,E101,E92,E127,E91,E123))-(V133*W133))*0.0001*(SUM(C104:C133)/24))</f>
        <v>862.11461152266338</v>
      </c>
      <c r="AV133" s="550"/>
      <c r="AW133" s="549"/>
      <c r="AX133" s="319"/>
      <c r="AY133" s="319"/>
      <c r="AZ133" s="319"/>
      <c r="BA133" s="319"/>
      <c r="BB133" s="319"/>
      <c r="BC133" s="320"/>
      <c r="BD133" s="368"/>
      <c r="BE133" s="330"/>
      <c r="BF133" s="317"/>
      <c r="BG133" s="318">
        <v>1.9</v>
      </c>
      <c r="BH133" s="319">
        <v>64.900000000000006</v>
      </c>
      <c r="BI133" s="348">
        <v>22500</v>
      </c>
      <c r="BJ133" s="319"/>
      <c r="BK133" s="348">
        <v>2272</v>
      </c>
      <c r="BL133" s="317"/>
      <c r="BM133" s="317"/>
      <c r="BN133" s="320"/>
      <c r="BO133" s="366"/>
      <c r="BP133" s="366"/>
      <c r="BQ133" s="366"/>
      <c r="BR133" s="319"/>
      <c r="BS133" s="368"/>
      <c r="BT133" s="319"/>
      <c r="BU133" s="332"/>
      <c r="BV133" s="318"/>
      <c r="BW133" s="319">
        <v>51</v>
      </c>
      <c r="BX133" s="313">
        <v>1034</v>
      </c>
      <c r="BY133" s="462">
        <f t="shared" si="122"/>
        <v>28</v>
      </c>
      <c r="BZ133" s="462">
        <f t="shared" si="123"/>
        <v>26.642857142857142</v>
      </c>
      <c r="CA133" s="319">
        <v>425</v>
      </c>
      <c r="CB133" s="313">
        <f t="shared" si="81"/>
        <v>45399.003125000003</v>
      </c>
      <c r="CC133" s="334">
        <f t="shared" si="124"/>
        <v>490.625</v>
      </c>
      <c r="CD133" s="334">
        <f t="shared" si="125"/>
        <v>20.442708333333332</v>
      </c>
      <c r="CE133" s="72">
        <f t="shared" si="126"/>
        <v>722.90966280589714</v>
      </c>
      <c r="CF133" s="313">
        <f>(CB133-CB104)/(AVERAGE(BY104:BY133)*((AVERAGE(D106,D101,D99,D93,D92,D123,D85,D123,D127)*AVERAGE(E106,E101,E99,E93,E92,E127,E123,E85,E116))-(BG133*BH133))*0.0001*(SUM(C104:C133)/24))</f>
        <v>705.18784914793105</v>
      </c>
      <c r="CG133" s="72">
        <f>CC133/(BY133*AVERAGE((D$106,D$99,D$127,D$86,D$92,D$93,D$100,D$116,D$123))*0.01)</f>
        <v>558.25795073106895</v>
      </c>
      <c r="CH133" s="433">
        <f t="shared" si="93"/>
        <v>0.6576742627345844</v>
      </c>
      <c r="CI133" s="319"/>
      <c r="CJ133" s="319"/>
      <c r="CK133" s="319"/>
      <c r="CL133" s="319"/>
      <c r="CM133" s="319"/>
      <c r="CN133" s="442"/>
      <c r="CP133" s="503" t="s">
        <v>6</v>
      </c>
      <c r="CQ133" s="503" t="s">
        <v>57</v>
      </c>
      <c r="CR133" s="503" t="s">
        <v>52</v>
      </c>
      <c r="CS133" s="503" t="s">
        <v>58</v>
      </c>
      <c r="CT133" s="503" t="s">
        <v>58</v>
      </c>
      <c r="CU133" s="503" t="s">
        <v>59</v>
      </c>
      <c r="CV133" s="503"/>
      <c r="CW133" s="503" t="s">
        <v>60</v>
      </c>
      <c r="CX133" s="503" t="s">
        <v>60</v>
      </c>
      <c r="CY133" s="503"/>
      <c r="CZ133" s="503" t="s">
        <v>6</v>
      </c>
      <c r="DA133" s="503" t="s">
        <v>57</v>
      </c>
      <c r="DB133" s="504" t="s">
        <v>52</v>
      </c>
      <c r="DC133" s="504" t="s">
        <v>58</v>
      </c>
      <c r="DD133" s="504" t="s">
        <v>58</v>
      </c>
      <c r="DE133" s="504" t="s">
        <v>59</v>
      </c>
      <c r="DF133" s="504" t="s">
        <v>60</v>
      </c>
      <c r="DG133" s="504" t="s">
        <v>60</v>
      </c>
    </row>
    <row r="134" spans="1:111">
      <c r="A134" s="141">
        <f t="shared" si="73"/>
        <v>41289</v>
      </c>
      <c r="B134" s="307">
        <f>B133</f>
        <v>0.33333333333333331</v>
      </c>
      <c r="C134" s="304">
        <f t="shared" si="116"/>
        <v>24</v>
      </c>
      <c r="D134" s="65"/>
      <c r="E134" s="66"/>
      <c r="F134" s="66"/>
      <c r="G134" s="66"/>
      <c r="H134" s="66"/>
      <c r="I134" s="66"/>
      <c r="J134" s="86"/>
      <c r="K134" s="86"/>
      <c r="L134" s="63"/>
      <c r="M134" s="86"/>
      <c r="N134" s="66"/>
      <c r="O134" s="261"/>
      <c r="P134" s="465"/>
      <c r="Q134" s="424"/>
      <c r="R134" s="424"/>
      <c r="S134" s="86"/>
      <c r="T134" s="86"/>
      <c r="U134" s="86"/>
      <c r="V134" s="65"/>
      <c r="W134" s="66"/>
      <c r="X134" s="66"/>
      <c r="Y134" s="66"/>
      <c r="Z134" s="66"/>
      <c r="AA134" s="86"/>
      <c r="AB134" s="86"/>
      <c r="AC134" s="63"/>
      <c r="AD134" s="87"/>
      <c r="AE134" s="87"/>
      <c r="AF134" s="87"/>
      <c r="AG134" s="66"/>
      <c r="AH134" s="66"/>
      <c r="AI134" s="64"/>
      <c r="AJ134" s="63"/>
      <c r="AK134" s="65"/>
      <c r="AL134" s="66">
        <v>35.6</v>
      </c>
      <c r="AM134" s="546">
        <v>1935</v>
      </c>
      <c r="AN134" s="543">
        <f t="shared" si="117"/>
        <v>4.32</v>
      </c>
      <c r="AO134" s="544">
        <f t="shared" si="118"/>
        <v>327.08333333333331</v>
      </c>
      <c r="AP134" s="545">
        <v>878</v>
      </c>
      <c r="AQ134" s="545">
        <f t="shared" si="119"/>
        <v>90626.287500000006</v>
      </c>
      <c r="AR134" s="546">
        <f t="shared" si="120"/>
        <v>241.38749999999709</v>
      </c>
      <c r="AS134" s="547">
        <f t="shared" si="121"/>
        <v>10.057812499999878</v>
      </c>
      <c r="AT134" s="545"/>
      <c r="AU134" s="542"/>
      <c r="AV134" s="550"/>
      <c r="AW134" s="549"/>
      <c r="AX134" s="66"/>
      <c r="AY134" s="66"/>
      <c r="AZ134" s="66"/>
      <c r="BA134" s="66"/>
      <c r="BB134" s="66"/>
      <c r="BC134" s="63"/>
      <c r="BD134" s="64"/>
      <c r="BE134" s="147"/>
      <c r="BF134" s="86"/>
      <c r="BG134" s="65"/>
      <c r="BH134" s="66"/>
      <c r="BI134" s="66"/>
      <c r="BJ134" s="66"/>
      <c r="BK134" s="66"/>
      <c r="BL134" s="86"/>
      <c r="BM134" s="86"/>
      <c r="BN134" s="63"/>
      <c r="BO134" s="87"/>
      <c r="BP134" s="87"/>
      <c r="BQ134" s="87"/>
      <c r="BR134" s="66"/>
      <c r="BS134" s="64"/>
      <c r="BT134" s="66"/>
      <c r="BU134" s="67"/>
      <c r="BV134" s="65"/>
      <c r="BW134" s="66">
        <v>51.1</v>
      </c>
      <c r="BX134" s="72">
        <v>1048</v>
      </c>
      <c r="BY134" s="443">
        <f t="shared" si="122"/>
        <v>28</v>
      </c>
      <c r="BZ134" s="443">
        <f t="shared" si="123"/>
        <v>26.642857142857142</v>
      </c>
      <c r="CA134" s="66">
        <v>432</v>
      </c>
      <c r="CB134" s="72">
        <f t="shared" si="81"/>
        <v>45828.3</v>
      </c>
      <c r="CC134" s="289">
        <f t="shared" si="124"/>
        <v>429.296875</v>
      </c>
      <c r="CD134" s="289">
        <f t="shared" si="125"/>
        <v>17.887369791666668</v>
      </c>
      <c r="CE134" s="72">
        <f t="shared" si="126"/>
        <v>632.54595495516003</v>
      </c>
      <c r="CF134" s="66"/>
      <c r="CG134" s="72">
        <f>CC134/(BY134*AVERAGE((D$106,D$99,D$127,D$86,D$92,D$93,D$100,D$116,D$123))*0.01)</f>
        <v>488.4757068896854</v>
      </c>
      <c r="CH134" s="433">
        <f t="shared" si="93"/>
        <v>0.57546497989276135</v>
      </c>
      <c r="CI134" s="66"/>
      <c r="CJ134" s="66"/>
      <c r="CK134" s="66"/>
      <c r="CL134" s="66"/>
      <c r="CM134" s="66"/>
      <c r="CN134" s="110"/>
      <c r="CP134" t="s">
        <v>64</v>
      </c>
      <c r="CQ134" s="118">
        <f>MIN(AR56:AR135)</f>
        <v>60.346875000017462</v>
      </c>
      <c r="CR134" s="118">
        <f>MIN(AS56:AS135)</f>
        <v>2.5144531250007276</v>
      </c>
      <c r="CS134" s="118">
        <f>MIN(AT56:AT135)</f>
        <v>127.48205945788825</v>
      </c>
      <c r="CT134" s="118" t="e">
        <f>MIN(#REF!)</f>
        <v>#REF!</v>
      </c>
      <c r="CU134" s="118">
        <f>MIN(AU56:AU135)</f>
        <v>785.80238862094848</v>
      </c>
      <c r="CV134" s="118"/>
      <c r="CW134" s="118">
        <f>MIN(AV56:AV135)</f>
        <v>97.544491319946417</v>
      </c>
      <c r="CX134" s="118" t="e">
        <f>MIN(#REF!)</f>
        <v>#REF!</v>
      </c>
      <c r="CY134" s="118"/>
      <c r="CZ134" s="118"/>
      <c r="DA134" s="118">
        <f>MIN(CC56:CC135)</f>
        <v>245.3125</v>
      </c>
      <c r="DB134" s="118">
        <f>MIN(CD56:CD135)</f>
        <v>5.110677083333333</v>
      </c>
      <c r="DC134" s="118">
        <f>MIN(CE56:CE135)</f>
        <v>180.12603859483528</v>
      </c>
      <c r="DD134" s="118" t="e">
        <f>MIN(#REF!)</f>
        <v>#REF!</v>
      </c>
      <c r="DE134" s="118">
        <f>MIN(CF56:CF135)</f>
        <v>619.74074727408185</v>
      </c>
      <c r="DF134" s="118">
        <f>MIN(CG56:CG135)</f>
        <v>137.82569000632066</v>
      </c>
      <c r="DG134" s="118"/>
    </row>
    <row r="135" spans="1:111" s="337" customFormat="1" ht="29.25" thickBot="1">
      <c r="A135" s="309">
        <f t="shared" si="73"/>
        <v>41290</v>
      </c>
      <c r="B135" s="505">
        <v>0.31597222222222221</v>
      </c>
      <c r="C135" s="311">
        <f t="shared" si="116"/>
        <v>23.583333333333332</v>
      </c>
      <c r="D135" s="501">
        <v>3.06</v>
      </c>
      <c r="E135" s="502">
        <v>76.38</v>
      </c>
      <c r="F135" s="492"/>
      <c r="G135" s="492"/>
      <c r="H135" s="492"/>
      <c r="I135" s="493"/>
      <c r="J135" s="494"/>
      <c r="K135" s="494"/>
      <c r="L135" s="495"/>
      <c r="M135" s="496"/>
      <c r="N135" s="492"/>
      <c r="O135" s="497"/>
      <c r="P135" s="430"/>
      <c r="Q135" s="430"/>
      <c r="R135" s="430"/>
      <c r="S135" s="496"/>
      <c r="T135" s="496"/>
      <c r="U135" s="496"/>
      <c r="V135" s="501">
        <v>1.9</v>
      </c>
      <c r="W135" s="502">
        <v>62.78</v>
      </c>
      <c r="X135" s="348"/>
      <c r="Y135" s="330"/>
      <c r="Z135" s="348"/>
      <c r="AA135" s="350"/>
      <c r="AB135" s="350"/>
      <c r="AC135" s="356"/>
      <c r="AD135" s="391">
        <f>D127*(100-E127)/(100-W135)</f>
        <v>1.4850725416442776</v>
      </c>
      <c r="AE135" s="387">
        <f>D127-V135</f>
        <v>1.3400000000000003</v>
      </c>
      <c r="AF135" s="393">
        <f>100*(AVERAGE(D101,D116,D123,D106,D99,D93,D92,D127,D86)-V135)/AVERAGE(D101,D116,D123,D106,D99,D93,D92,D127,D86)</f>
        <v>39.426142401700311</v>
      </c>
      <c r="AG135" s="393">
        <f>100*(1-((100-AVERAGE(E101,E116,E123,E106,E99,E93,E92,E127,E86))/(100-W135)))</f>
        <v>38.372440145680287</v>
      </c>
      <c r="AH135" s="387">
        <f>E127-W135</f>
        <v>20.159999999999997</v>
      </c>
      <c r="AI135" s="393">
        <f>100*(1-((V135*W135)/(AVERAGE(D101,D116,D123,D106,D99,D93,D92,D127,D86)*AVERAGE(E101,E116,E123,E106,E99,E93,E92,E127,E86))))</f>
        <v>50.652515975270632</v>
      </c>
      <c r="AJ135" s="389">
        <f>100*100*((AVERAGE(E101,E116,E123,E106,E99,E93,E92,E127,E86)-W135)/((100-W135)*AVERAGE(E101,E116,E123,E106,E99,E93,E92,E127,E86)))</f>
        <v>49.794100194809765</v>
      </c>
      <c r="AK135" s="491">
        <v>7.16</v>
      </c>
      <c r="AL135" s="470">
        <v>33.6</v>
      </c>
      <c r="AM135" s="551">
        <v>1935</v>
      </c>
      <c r="AN135" s="543"/>
      <c r="AO135" s="544"/>
      <c r="AP135" s="552">
        <v>880</v>
      </c>
      <c r="AQ135" s="553">
        <f t="shared" si="119"/>
        <v>90746.981250000012</v>
      </c>
      <c r="AR135" s="545">
        <f t="shared" si="120"/>
        <v>122.82614840989993</v>
      </c>
      <c r="AS135" s="554">
        <f t="shared" si="121"/>
        <v>5.1177561837458301</v>
      </c>
      <c r="AT135" s="553"/>
      <c r="AU135" s="546">
        <f>(AQ135-AQ106)/(AVERAGE(AN106:AN135)*((AVERAGE(D123,D116,D106,D94,D133,D93,D127)*AVERAGE(E123,E116,E106,E94,E133,E93,E127))-(V135*W135))*0.0001*(SUM(C106:C135)/24))</f>
        <v>817.70811903033689</v>
      </c>
      <c r="AV135" s="551"/>
      <c r="AW135" s="551"/>
      <c r="AX135" s="492">
        <v>64.400000000000006</v>
      </c>
      <c r="AY135" s="330">
        <v>33.9</v>
      </c>
      <c r="AZ135" s="330">
        <v>0</v>
      </c>
      <c r="BA135" s="330">
        <v>5</v>
      </c>
      <c r="BB135" s="330">
        <v>70</v>
      </c>
      <c r="BC135" s="506" t="s">
        <v>135</v>
      </c>
      <c r="BD135" s="368"/>
      <c r="BE135" s="330"/>
      <c r="BF135" s="352"/>
      <c r="BG135" s="384">
        <v>2.0499999999999998</v>
      </c>
      <c r="BH135" s="369">
        <v>64.77</v>
      </c>
      <c r="BI135" s="348"/>
      <c r="BJ135" s="330"/>
      <c r="BK135" s="348"/>
      <c r="BL135" s="350"/>
      <c r="BM135" s="350"/>
      <c r="BN135" s="356"/>
      <c r="BO135" s="391">
        <f>D127*(100-E127)/(100-BH135)</f>
        <v>1.5689582741981267</v>
      </c>
      <c r="BP135" s="387">
        <f>D127-BG135</f>
        <v>1.1900000000000004</v>
      </c>
      <c r="BQ135" s="392">
        <f>100*(AVERAGE(D101,D116,D123,D106,D99,D93,D92,D127,D86)-BG135)/AVERAGE(D101,D116,D123,D106,D99,D93,D92,D127,D86)</f>
        <v>34.643995749202972</v>
      </c>
      <c r="BR135" s="393">
        <f>100*(1-((100-AVERAGE(E101,E116,E123,E106,E99,E93,E92,E127,E86))/(100-BH135)))</f>
        <v>34.891348913489082</v>
      </c>
      <c r="BS135" s="387">
        <f>E127-BH135</f>
        <v>18.170000000000002</v>
      </c>
      <c r="BT135" s="392">
        <f>100*(1-((BG135*BH135)/(AVERAGE(D101,D116,D123,D106,D99,D93,D92,D127,D86)*AVERAGE(E101,E116,E123,E106,E99,E93,E92,E127,E86))))</f>
        <v>45.068955017709911</v>
      </c>
      <c r="BU135" s="389">
        <f>100*100*((AVERAGE(E109,E124,E131,E114,E107,E101,E100,E93,E94)-BH135)/((100-BH135)*AVERAGE(E101,E116,E123,E106,E99,E93,E92,E127,E86)))</f>
        <v>40.867035483186733</v>
      </c>
      <c r="BV135" s="491">
        <v>7.33</v>
      </c>
      <c r="BW135" s="365">
        <v>46.4</v>
      </c>
      <c r="BX135" s="498">
        <v>1063</v>
      </c>
      <c r="BY135" s="443">
        <f t="shared" si="122"/>
        <v>30.530035335689046</v>
      </c>
      <c r="BZ135" s="443">
        <f t="shared" si="123"/>
        <v>24.434953703703705</v>
      </c>
      <c r="CA135" s="492">
        <v>439</v>
      </c>
      <c r="CB135" s="498">
        <f t="shared" si="81"/>
        <v>46257.596875000003</v>
      </c>
      <c r="CC135" s="289">
        <f t="shared" si="124"/>
        <v>436.88162544169614</v>
      </c>
      <c r="CD135" s="289">
        <f t="shared" si="125"/>
        <v>18.203401060070671</v>
      </c>
      <c r="CE135" s="72">
        <f t="shared" si="126"/>
        <v>590.37622462481602</v>
      </c>
      <c r="CF135" s="313">
        <f>(CB135-CB106)/(AVERAGE(BY106:BY135)*((AVERAGE(D106,D101,D99,D93,D92,D123,D133,D123,D127)*AVERAGE(E106,E101,E99,E93,E92,E127,E123,E133,E116))-(BG135*BH135))*0.0001*(SUM(C106:C135)/24))</f>
        <v>788.91698949233978</v>
      </c>
      <c r="CG135" s="72">
        <f>CC135/(BY135*AVERAGE((D$106,D$99,D$127,D$86,D$92,D$93,D$100,D$116,D$123))*0.01)</f>
        <v>455.91065976370635</v>
      </c>
      <c r="CH135" s="433">
        <f t="shared" si="93"/>
        <v>0.58563220568591978</v>
      </c>
      <c r="CI135" s="492"/>
      <c r="CJ135" s="492"/>
      <c r="CK135" s="492"/>
      <c r="CL135" s="492"/>
      <c r="CM135" s="492"/>
      <c r="CN135" s="499"/>
      <c r="CP135" s="337" t="s">
        <v>65</v>
      </c>
      <c r="CQ135" s="500">
        <f>AVERAGE(AR56:AR135)</f>
        <v>670.71660449691581</v>
      </c>
      <c r="CR135" s="500">
        <f>AVERAGE(AS56:AS135)</f>
        <v>28.026289933363433</v>
      </c>
      <c r="CS135" s="500">
        <f>AVERAGE(AT56:AT135)</f>
        <v>536.95772664529511</v>
      </c>
      <c r="CT135" s="500" t="e">
        <f>AVERAGE(#REF!)</f>
        <v>#REF!</v>
      </c>
      <c r="CU135" s="500">
        <f>AVERAGE(AU56:AU135)</f>
        <v>1205.3734945346773</v>
      </c>
      <c r="CV135" s="500"/>
      <c r="CW135" s="500">
        <f>AVERAGE(AV56:AV135)</f>
        <v>410.11304546982001</v>
      </c>
      <c r="CX135" s="500" t="e">
        <f>AVERAGE(#REF!)</f>
        <v>#REF!</v>
      </c>
      <c r="CY135" s="500"/>
      <c r="DA135" s="500">
        <f>AVERAGE(CC63:CC135)</f>
        <v>420.82621432471097</v>
      </c>
      <c r="DB135" s="500">
        <f>AVERAGE(CD63:CD135)</f>
        <v>17.136351338195237</v>
      </c>
      <c r="DC135" s="500">
        <f>AVERAGE(CE63:CE135)</f>
        <v>581.61135648722109</v>
      </c>
      <c r="DD135" s="500" t="e">
        <f>AVERAGE(#REF!)</f>
        <v>#REF!</v>
      </c>
      <c r="DE135" s="500">
        <f>AVERAGE(CF63:CF135)</f>
        <v>1098.2482144551605</v>
      </c>
      <c r="DF135" s="500">
        <f>AVERAGE(CG63:CG135)</f>
        <v>445.22208527220369</v>
      </c>
      <c r="DG135" s="500"/>
    </row>
    <row r="136" spans="1:111" s="121" customFormat="1">
      <c r="A136" s="141">
        <f t="shared" si="73"/>
        <v>41291</v>
      </c>
      <c r="B136" s="307">
        <v>0.33333333333333331</v>
      </c>
      <c r="C136" s="304">
        <f t="shared" si="116"/>
        <v>24.416666666666668</v>
      </c>
      <c r="D136" s="184"/>
      <c r="E136" s="142"/>
      <c r="F136" s="142"/>
      <c r="G136" s="142"/>
      <c r="H136" s="142"/>
      <c r="I136" s="142"/>
      <c r="J136" s="202"/>
      <c r="K136" s="202"/>
      <c r="L136" s="186"/>
      <c r="M136" s="202"/>
      <c r="N136" s="142"/>
      <c r="O136" s="266"/>
      <c r="P136" s="690"/>
      <c r="Q136" s="691"/>
      <c r="R136" s="691"/>
      <c r="S136" s="202"/>
      <c r="T136" s="202"/>
      <c r="U136" s="202"/>
      <c r="V136" s="184"/>
      <c r="W136" s="142"/>
      <c r="X136" s="66"/>
      <c r="Y136" s="66"/>
      <c r="Z136" s="66"/>
      <c r="AA136" s="86"/>
      <c r="AB136" s="86"/>
      <c r="AC136" s="63"/>
      <c r="AD136" s="203"/>
      <c r="AE136" s="203"/>
      <c r="AF136" s="203"/>
      <c r="AG136" s="142"/>
      <c r="AH136" s="142"/>
      <c r="AI136" s="200"/>
      <c r="AJ136" s="186"/>
      <c r="AK136" s="184"/>
      <c r="AL136" s="142">
        <v>35.6</v>
      </c>
      <c r="AM136" s="555">
        <v>1938</v>
      </c>
      <c r="AN136" s="556"/>
      <c r="AO136" s="556"/>
      <c r="AP136" s="556">
        <v>883</v>
      </c>
      <c r="AQ136" s="545">
        <f t="shared" si="119"/>
        <v>90928.021875000006</v>
      </c>
      <c r="AR136" s="545">
        <f t="shared" ref="AR136:AR141" si="127">(AQ136-AQ135)/(C136/24)</f>
        <v>177.9511945392434</v>
      </c>
      <c r="AS136" s="554">
        <f t="shared" ref="AS136:AS141" si="128">(AQ136-AQ135)/C136</f>
        <v>7.4146331058018093</v>
      </c>
      <c r="AT136" s="555"/>
      <c r="AU136" s="556"/>
      <c r="AV136" s="557"/>
      <c r="AW136" s="557"/>
      <c r="AX136" s="204"/>
      <c r="AY136" s="144"/>
      <c r="AZ136" s="144"/>
      <c r="BA136" s="144"/>
      <c r="BB136" s="144"/>
      <c r="BC136" s="102"/>
      <c r="BD136" s="64"/>
      <c r="BE136" s="147"/>
      <c r="BF136" s="86"/>
      <c r="BG136" s="65"/>
      <c r="BH136" s="66"/>
      <c r="BI136" s="66"/>
      <c r="BJ136" s="66"/>
      <c r="BK136" s="66"/>
      <c r="BL136" s="86"/>
      <c r="BM136" s="86"/>
      <c r="BN136" s="63"/>
      <c r="BO136" s="87"/>
      <c r="BP136" s="87"/>
      <c r="BQ136" s="87"/>
      <c r="BR136" s="142"/>
      <c r="BS136" s="200"/>
      <c r="BT136" s="142"/>
      <c r="BU136" s="201"/>
      <c r="BV136" s="184"/>
      <c r="BW136" s="142">
        <v>51</v>
      </c>
      <c r="BX136" s="185">
        <v>1077</v>
      </c>
      <c r="BY136" s="443">
        <f>(BX136-BX135)*CB$1/((C136)/24)</f>
        <v>27.522184300341294</v>
      </c>
      <c r="BZ136" s="443">
        <f>CB$3/BY136</f>
        <v>27.105406746031747</v>
      </c>
      <c r="CA136" s="142">
        <v>446</v>
      </c>
      <c r="CB136" s="76">
        <f t="shared" si="81"/>
        <v>46686.893750000003</v>
      </c>
      <c r="CC136" s="289">
        <f t="shared" ref="CC136:CC141" si="129">(CB136-CB135)/((C136/24))</f>
        <v>421.97098976109214</v>
      </c>
      <c r="CD136" s="289">
        <f t="shared" ref="CD136:CD141" si="130">(CB136-CB135)/(C136)</f>
        <v>17.582124573378838</v>
      </c>
      <c r="CE136" s="72">
        <f t="shared" si="126"/>
        <v>632.54595495516014</v>
      </c>
      <c r="CF136" s="142"/>
      <c r="CG136" s="72">
        <f>CC136/(BY136*AVERAGE((D$106,D$99,D$127,D$86,D$92,D$93,D$100,D$116,D$123))*0.01)</f>
        <v>488.4757068896854</v>
      </c>
      <c r="CH136" s="433">
        <f t="shared" si="93"/>
        <v>0.56564475839288486</v>
      </c>
      <c r="CI136" s="204"/>
      <c r="CJ136" s="204"/>
      <c r="CK136" s="204"/>
      <c r="CL136" s="204"/>
      <c r="CM136" s="204"/>
      <c r="CN136" s="120"/>
      <c r="CP136" s="122" t="s">
        <v>66</v>
      </c>
      <c r="CQ136" s="118">
        <f>MAX(AR56:AR135)</f>
        <v>1086.2437500000015</v>
      </c>
      <c r="CR136" s="118">
        <f>MAX(AS56:AS135)</f>
        <v>45.260156250000058</v>
      </c>
      <c r="CS136" s="118">
        <f>MAX(AT56:AT135)</f>
        <v>769.67083025943384</v>
      </c>
      <c r="CT136" s="118" t="e">
        <f>MAX(#REF!)</f>
        <v>#REF!</v>
      </c>
      <c r="CU136" s="118">
        <f>MAX(AU56:AU135)</f>
        <v>1644.9202998274018</v>
      </c>
      <c r="CV136" s="118"/>
      <c r="CW136" s="118">
        <f>MAX(AV56:AV135)</f>
        <v>593.40752540673702</v>
      </c>
      <c r="CX136" s="118"/>
      <c r="CY136" s="118"/>
      <c r="CZ136" s="118"/>
      <c r="DA136" s="118">
        <f>MAX(CC56:CC135)</f>
        <v>674.609375</v>
      </c>
      <c r="DB136" s="118">
        <f>MAX(CD56:CD135)</f>
        <v>28.108723958333332</v>
      </c>
      <c r="DC136" s="118">
        <f>MAX(CE56:CE135)</f>
        <v>1283.6964177347645</v>
      </c>
      <c r="DD136" s="118" t="e">
        <f>MAX(#REF!)</f>
        <v>#REF!</v>
      </c>
      <c r="DE136" s="118">
        <f>MAX(CF56:CF135)</f>
        <v>1658.5163085173917</v>
      </c>
      <c r="DF136" s="118">
        <f>MAX(CG56:CG135)</f>
        <v>982.42891469763708</v>
      </c>
    </row>
    <row r="137" spans="1:111" ht="28.5">
      <c r="A137" s="141">
        <f t="shared" si="73"/>
        <v>41292</v>
      </c>
      <c r="B137" s="307">
        <f t="shared" ref="B137:B143" si="131">B136</f>
        <v>0.33333333333333331</v>
      </c>
      <c r="C137" s="304">
        <f t="shared" si="116"/>
        <v>24</v>
      </c>
      <c r="D137" s="97"/>
      <c r="E137" s="98"/>
      <c r="F137" s="98"/>
      <c r="G137" s="98"/>
      <c r="H137" s="98"/>
      <c r="I137" s="98"/>
      <c r="J137" s="157"/>
      <c r="K137" s="157"/>
      <c r="L137" s="99"/>
      <c r="M137" s="157"/>
      <c r="N137" s="98"/>
      <c r="O137" s="267"/>
      <c r="P137" s="430"/>
      <c r="Q137" s="430"/>
      <c r="R137" s="430"/>
      <c r="S137" s="157"/>
      <c r="T137" s="157"/>
      <c r="U137" s="157"/>
      <c r="V137" s="97"/>
      <c r="W137" s="98"/>
      <c r="X137" s="98"/>
      <c r="Y137" s="98"/>
      <c r="Z137" s="98"/>
      <c r="AA137" s="157"/>
      <c r="AB137" s="157"/>
      <c r="AC137" s="99"/>
      <c r="AD137" s="158"/>
      <c r="AE137" s="158"/>
      <c r="AF137" s="158"/>
      <c r="AG137" s="98"/>
      <c r="AH137" s="98"/>
      <c r="AI137" s="156"/>
      <c r="AJ137" s="99"/>
      <c r="AK137" s="97"/>
      <c r="AL137" s="98">
        <v>35.6</v>
      </c>
      <c r="AM137" s="551">
        <v>1938</v>
      </c>
      <c r="AN137" s="552"/>
      <c r="AO137" s="552"/>
      <c r="AP137" s="552">
        <v>885</v>
      </c>
      <c r="AQ137" s="545">
        <f t="shared" si="119"/>
        <v>91048.715625000012</v>
      </c>
      <c r="AR137" s="545">
        <f t="shared" si="127"/>
        <v>120.69375000000582</v>
      </c>
      <c r="AS137" s="554">
        <f t="shared" si="128"/>
        <v>5.0289062500002428</v>
      </c>
      <c r="AT137" s="553"/>
      <c r="AU137" s="552"/>
      <c r="AV137" s="558"/>
      <c r="AW137" s="558"/>
      <c r="AX137" s="182"/>
      <c r="AY137" s="507"/>
      <c r="AZ137" s="507"/>
      <c r="BA137" s="507"/>
      <c r="BB137" s="507"/>
      <c r="BC137" s="508" t="s">
        <v>136</v>
      </c>
      <c r="BD137" s="64"/>
      <c r="BE137" s="147"/>
      <c r="BF137" s="157"/>
      <c r="BG137" s="97"/>
      <c r="BH137" s="98"/>
      <c r="BI137" s="98"/>
      <c r="BJ137" s="98"/>
      <c r="BK137" s="98"/>
      <c r="BL137" s="157"/>
      <c r="BM137" s="157"/>
      <c r="BN137" s="99"/>
      <c r="BO137" s="158"/>
      <c r="BP137" s="158"/>
      <c r="BQ137" s="158"/>
      <c r="BR137" s="98"/>
      <c r="BS137" s="156"/>
      <c r="BT137" s="98"/>
      <c r="BU137" s="100"/>
      <c r="BV137" s="97"/>
      <c r="BW137" s="98">
        <v>51</v>
      </c>
      <c r="BX137" s="76">
        <v>1086</v>
      </c>
      <c r="BY137" s="443">
        <f>(BX137-BX136)*CB$1/((C137)/24)</f>
        <v>18</v>
      </c>
      <c r="BZ137" s="443">
        <f>CB$3/BY137</f>
        <v>41.444444444444443</v>
      </c>
      <c r="CA137" s="98">
        <v>451</v>
      </c>
      <c r="CB137" s="76">
        <f t="shared" si="81"/>
        <v>46993.534375000003</v>
      </c>
      <c r="CC137" s="289">
        <f t="shared" si="129"/>
        <v>306.640625</v>
      </c>
      <c r="CD137" s="289">
        <f t="shared" si="130"/>
        <v>12.776692708333334</v>
      </c>
      <c r="CE137" s="72">
        <f t="shared" si="126"/>
        <v>702.82883883906652</v>
      </c>
      <c r="CF137" s="98"/>
      <c r="CG137" s="72">
        <f>CC137/(BY137*AVERAGE((D$106,D$99,D$127,D$86,D$92,D$93,D$100,D$116,D$123))*0.01)</f>
        <v>542.75078543298366</v>
      </c>
      <c r="CH137" s="433">
        <f t="shared" si="93"/>
        <v>0.41104641420911531</v>
      </c>
      <c r="CI137" s="182"/>
      <c r="CJ137" s="182"/>
      <c r="CK137" s="182"/>
      <c r="CL137" s="182"/>
      <c r="CM137" s="182"/>
      <c r="CN137" s="123"/>
    </row>
    <row r="138" spans="1:111" s="125" customFormat="1" ht="15">
      <c r="A138" s="141">
        <f t="shared" si="73"/>
        <v>41293</v>
      </c>
      <c r="B138" s="307">
        <f t="shared" si="131"/>
        <v>0.33333333333333331</v>
      </c>
      <c r="C138" s="304">
        <f t="shared" si="116"/>
        <v>24</v>
      </c>
      <c r="D138" s="65"/>
      <c r="E138" s="66"/>
      <c r="F138" s="66"/>
      <c r="G138" s="66"/>
      <c r="H138" s="66"/>
      <c r="I138" s="66"/>
      <c r="J138" s="86"/>
      <c r="K138" s="86"/>
      <c r="L138" s="63"/>
      <c r="M138" s="86"/>
      <c r="N138" s="66"/>
      <c r="O138" s="261"/>
      <c r="P138" s="692"/>
      <c r="Q138" s="693"/>
      <c r="R138" s="694"/>
      <c r="S138" s="64"/>
      <c r="T138" s="64"/>
      <c r="U138" s="86"/>
      <c r="V138" s="65"/>
      <c r="W138" s="66"/>
      <c r="X138" s="66"/>
      <c r="Y138" s="66"/>
      <c r="Z138" s="66"/>
      <c r="AA138" s="86"/>
      <c r="AB138" s="86"/>
      <c r="AC138" s="63"/>
      <c r="AD138" s="87"/>
      <c r="AE138" s="87"/>
      <c r="AF138" s="87"/>
      <c r="AG138" s="66"/>
      <c r="AH138" s="66"/>
      <c r="AI138" s="64"/>
      <c r="AJ138" s="63"/>
      <c r="AK138" s="65"/>
      <c r="AL138" s="66">
        <v>35.6</v>
      </c>
      <c r="AM138" s="546">
        <v>1939</v>
      </c>
      <c r="AN138" s="542"/>
      <c r="AO138" s="542"/>
      <c r="AP138" s="542">
        <v>887</v>
      </c>
      <c r="AQ138" s="545">
        <f t="shared" si="119"/>
        <v>91169.409375000017</v>
      </c>
      <c r="AR138" s="545">
        <f t="shared" si="127"/>
        <v>120.69375000000582</v>
      </c>
      <c r="AS138" s="554">
        <f t="shared" si="128"/>
        <v>5.0289062500002428</v>
      </c>
      <c r="AT138" s="546"/>
      <c r="AU138" s="542"/>
      <c r="AV138" s="550"/>
      <c r="AW138" s="550"/>
      <c r="AX138" s="66"/>
      <c r="AY138" s="66"/>
      <c r="AZ138" s="66"/>
      <c r="BA138" s="66"/>
      <c r="BB138" s="66"/>
      <c r="BC138" s="63"/>
      <c r="BD138" s="64"/>
      <c r="BE138" s="147"/>
      <c r="BF138" s="86"/>
      <c r="BG138" s="65"/>
      <c r="BH138" s="66"/>
      <c r="BI138" s="66"/>
      <c r="BJ138" s="66"/>
      <c r="BK138" s="66"/>
      <c r="BL138" s="86"/>
      <c r="BM138" s="86"/>
      <c r="BN138" s="63"/>
      <c r="BO138" s="87"/>
      <c r="BP138" s="87"/>
      <c r="BQ138" s="87"/>
      <c r="BR138" s="66"/>
      <c r="BS138" s="64"/>
      <c r="BT138" s="66"/>
      <c r="BU138" s="67"/>
      <c r="BV138" s="65"/>
      <c r="BW138" s="66">
        <v>51</v>
      </c>
      <c r="BX138" s="76">
        <v>1089</v>
      </c>
      <c r="BY138" s="443">
        <f>(BX138-BX137)*CB$1/((C138)/24)</f>
        <v>6</v>
      </c>
      <c r="BZ138" s="443">
        <f>CB$3/BY138</f>
        <v>124.33333333333333</v>
      </c>
      <c r="CA138" s="66">
        <v>454</v>
      </c>
      <c r="CB138" s="76">
        <f t="shared" si="81"/>
        <v>47177.518750000003</v>
      </c>
      <c r="CC138" s="289">
        <f t="shared" si="129"/>
        <v>183.984375</v>
      </c>
      <c r="CD138" s="289">
        <f t="shared" si="130"/>
        <v>7.666015625</v>
      </c>
      <c r="CE138" s="66"/>
      <c r="CF138" s="66"/>
      <c r="CG138" s="72"/>
      <c r="CH138" s="180"/>
      <c r="CI138" s="66"/>
      <c r="CJ138" s="66"/>
      <c r="CK138" s="66"/>
      <c r="CL138" s="66"/>
      <c r="CM138" s="66"/>
      <c r="CN138" s="124"/>
    </row>
    <row r="139" spans="1:111">
      <c r="A139" s="141">
        <f t="shared" si="73"/>
        <v>41294</v>
      </c>
      <c r="B139" s="307">
        <f t="shared" si="131"/>
        <v>0.33333333333333331</v>
      </c>
      <c r="C139" s="304">
        <f t="shared" si="116"/>
        <v>24</v>
      </c>
      <c r="D139" s="65"/>
      <c r="E139" s="66"/>
      <c r="F139" s="66"/>
      <c r="G139" s="66"/>
      <c r="H139" s="66"/>
      <c r="I139" s="66"/>
      <c r="J139" s="86"/>
      <c r="K139" s="86"/>
      <c r="L139" s="63"/>
      <c r="M139" s="86"/>
      <c r="N139" s="66"/>
      <c r="O139" s="261"/>
      <c r="P139" s="695"/>
      <c r="Q139" s="696"/>
      <c r="R139" s="697"/>
      <c r="S139" s="64"/>
      <c r="T139" s="64"/>
      <c r="U139" s="86"/>
      <c r="V139" s="65"/>
      <c r="W139" s="66"/>
      <c r="X139" s="66"/>
      <c r="Y139" s="66"/>
      <c r="Z139" s="66"/>
      <c r="AA139" s="86"/>
      <c r="AB139" s="86"/>
      <c r="AC139" s="63"/>
      <c r="AD139" s="87"/>
      <c r="AE139" s="87"/>
      <c r="AF139" s="87"/>
      <c r="AG139" s="66"/>
      <c r="AH139" s="66"/>
      <c r="AI139" s="64"/>
      <c r="AJ139" s="63"/>
      <c r="AK139" s="65"/>
      <c r="AL139" s="66">
        <v>35.6</v>
      </c>
      <c r="AM139" s="546">
        <v>1940</v>
      </c>
      <c r="AN139" s="542"/>
      <c r="AO139" s="542"/>
      <c r="AP139" s="545">
        <v>888</v>
      </c>
      <c r="AQ139" s="545">
        <f t="shared" si="119"/>
        <v>91229.756250000006</v>
      </c>
      <c r="AR139" s="545">
        <f t="shared" si="127"/>
        <v>60.346874999988358</v>
      </c>
      <c r="AS139" s="554">
        <f t="shared" si="128"/>
        <v>2.5144531249995148</v>
      </c>
      <c r="AT139" s="545"/>
      <c r="AU139" s="542"/>
      <c r="AV139" s="550"/>
      <c r="AW139" s="550"/>
      <c r="AX139" s="66"/>
      <c r="AY139" s="66"/>
      <c r="AZ139" s="66"/>
      <c r="BA139" s="66"/>
      <c r="BB139" s="66"/>
      <c r="BC139" s="63"/>
      <c r="BD139" s="64"/>
      <c r="BE139" s="147"/>
      <c r="BF139" s="86"/>
      <c r="BG139" s="65"/>
      <c r="BH139" s="66"/>
      <c r="BI139" s="66"/>
      <c r="BJ139" s="66"/>
      <c r="BK139" s="66"/>
      <c r="BL139" s="86"/>
      <c r="BM139" s="86"/>
      <c r="BN139" s="63"/>
      <c r="BO139" s="87"/>
      <c r="BP139" s="87"/>
      <c r="BQ139" s="87"/>
      <c r="BR139" s="66"/>
      <c r="BS139" s="64"/>
      <c r="BT139" s="66"/>
      <c r="BU139" s="67"/>
      <c r="BV139" s="65"/>
      <c r="BW139" s="66">
        <v>51</v>
      </c>
      <c r="BX139" s="76">
        <v>1091</v>
      </c>
      <c r="BY139" s="443">
        <f>(BX139-BX138)*CB$1/((C139)/24)</f>
        <v>4</v>
      </c>
      <c r="BZ139" s="443">
        <f>CB$3/BY139</f>
        <v>186.5</v>
      </c>
      <c r="CA139" s="66">
        <v>456</v>
      </c>
      <c r="CB139" s="76">
        <f t="shared" si="81"/>
        <v>47300.175000000003</v>
      </c>
      <c r="CC139" s="289">
        <f t="shared" si="129"/>
        <v>122.65625</v>
      </c>
      <c r="CD139" s="289">
        <f t="shared" si="130"/>
        <v>5.110677083333333</v>
      </c>
      <c r="CE139" s="72"/>
      <c r="CF139" s="66"/>
      <c r="CG139" s="72"/>
      <c r="CH139" s="180"/>
      <c r="CI139" s="66"/>
      <c r="CJ139" s="66"/>
      <c r="CK139" s="66"/>
      <c r="CL139" s="66"/>
      <c r="CM139" s="66"/>
      <c r="CN139" s="110"/>
    </row>
    <row r="140" spans="1:111">
      <c r="A140" s="141">
        <f t="shared" si="73"/>
        <v>41295</v>
      </c>
      <c r="B140" s="307">
        <f t="shared" si="131"/>
        <v>0.33333333333333331</v>
      </c>
      <c r="C140" s="304">
        <f t="shared" si="116"/>
        <v>24</v>
      </c>
      <c r="D140" s="65"/>
      <c r="E140" s="66"/>
      <c r="F140" s="66"/>
      <c r="G140" s="66"/>
      <c r="H140" s="66"/>
      <c r="I140" s="66"/>
      <c r="J140" s="86"/>
      <c r="K140" s="86"/>
      <c r="L140" s="63"/>
      <c r="M140" s="86"/>
      <c r="N140" s="66"/>
      <c r="O140" s="261"/>
      <c r="P140" s="695"/>
      <c r="Q140" s="698"/>
      <c r="R140" s="431"/>
      <c r="S140" s="64"/>
      <c r="T140" s="64"/>
      <c r="U140" s="86"/>
      <c r="V140" s="65"/>
      <c r="W140" s="66"/>
      <c r="X140" s="66"/>
      <c r="Y140" s="66"/>
      <c r="Z140" s="66"/>
      <c r="AA140" s="86"/>
      <c r="AB140" s="86"/>
      <c r="AC140" s="63"/>
      <c r="AD140" s="87"/>
      <c r="AE140" s="87"/>
      <c r="AF140" s="87"/>
      <c r="AG140" s="66"/>
      <c r="AH140" s="66"/>
      <c r="AI140" s="64"/>
      <c r="AJ140" s="63"/>
      <c r="AK140" s="65"/>
      <c r="AL140" s="66">
        <v>35.6</v>
      </c>
      <c r="AM140" s="546">
        <v>1940</v>
      </c>
      <c r="AN140" s="542"/>
      <c r="AO140" s="542"/>
      <c r="AP140" s="545">
        <v>890</v>
      </c>
      <c r="AQ140" s="545">
        <f t="shared" si="119"/>
        <v>91350.450000000012</v>
      </c>
      <c r="AR140" s="545">
        <f t="shared" si="127"/>
        <v>120.69375000000582</v>
      </c>
      <c r="AS140" s="554">
        <f t="shared" si="128"/>
        <v>5.0289062500002428</v>
      </c>
      <c r="AT140" s="545"/>
      <c r="AU140" s="542"/>
      <c r="AV140" s="550"/>
      <c r="AW140" s="550"/>
      <c r="AX140" s="66"/>
      <c r="AY140" s="66"/>
      <c r="AZ140" s="66"/>
      <c r="BA140" s="66"/>
      <c r="BB140" s="66"/>
      <c r="BC140" s="63"/>
      <c r="BD140" s="64"/>
      <c r="BE140" s="147"/>
      <c r="BF140" s="86"/>
      <c r="BG140" s="65"/>
      <c r="BH140" s="66"/>
      <c r="BI140" s="66"/>
      <c r="BJ140" s="66"/>
      <c r="BK140" s="66"/>
      <c r="BL140" s="86"/>
      <c r="BM140" s="86"/>
      <c r="BN140" s="63"/>
      <c r="BO140" s="87"/>
      <c r="BP140" s="87"/>
      <c r="BQ140" s="87"/>
      <c r="BR140" s="66"/>
      <c r="BS140" s="64"/>
      <c r="BT140" s="66"/>
      <c r="BU140" s="67"/>
      <c r="BV140" s="65"/>
      <c r="BW140" s="66">
        <v>51</v>
      </c>
      <c r="BX140" s="76">
        <v>1092</v>
      </c>
      <c r="BY140" s="443">
        <f>(BX140-BX139)*CB$1/((C140)/24)</f>
        <v>2</v>
      </c>
      <c r="BZ140" s="443">
        <f>CB$3/BY140</f>
        <v>373</v>
      </c>
      <c r="CA140" s="66">
        <v>458</v>
      </c>
      <c r="CB140" s="76">
        <f t="shared" si="81"/>
        <v>47422.831250000003</v>
      </c>
      <c r="CC140" s="289">
        <f t="shared" si="129"/>
        <v>122.65625</v>
      </c>
      <c r="CD140" s="289">
        <f t="shared" si="130"/>
        <v>5.110677083333333</v>
      </c>
      <c r="CE140" s="72"/>
      <c r="CF140" s="66"/>
      <c r="CG140" s="72"/>
      <c r="CH140" s="180"/>
      <c r="CI140" s="66"/>
      <c r="CJ140" s="66"/>
      <c r="CK140" s="66"/>
      <c r="CL140" s="66"/>
      <c r="CM140" s="66"/>
      <c r="CN140" s="110"/>
    </row>
    <row r="141" spans="1:111" s="69" customFormat="1" ht="15">
      <c r="A141" s="141">
        <f t="shared" si="73"/>
        <v>41296</v>
      </c>
      <c r="B141" s="307">
        <f t="shared" si="131"/>
        <v>0.33333333333333331</v>
      </c>
      <c r="C141" s="304">
        <f t="shared" si="116"/>
        <v>24</v>
      </c>
      <c r="D141" s="65"/>
      <c r="E141" s="66"/>
      <c r="F141" s="66"/>
      <c r="G141" s="66"/>
      <c r="H141" s="66"/>
      <c r="I141" s="66"/>
      <c r="J141" s="86"/>
      <c r="K141" s="86"/>
      <c r="L141" s="63"/>
      <c r="M141" s="86"/>
      <c r="N141" s="66"/>
      <c r="O141" s="261"/>
      <c r="P141" s="699"/>
      <c r="Q141" s="700"/>
      <c r="R141" s="701"/>
      <c r="S141" s="64"/>
      <c r="T141" s="64"/>
      <c r="U141" s="86"/>
      <c r="V141" s="65"/>
      <c r="W141" s="66"/>
      <c r="X141" s="76"/>
      <c r="Y141" s="66"/>
      <c r="Z141" s="76"/>
      <c r="AA141" s="256"/>
      <c r="AB141" s="256"/>
      <c r="AC141" s="63"/>
      <c r="AD141" s="93"/>
      <c r="AE141" s="83"/>
      <c r="AF141" s="88"/>
      <c r="AG141" s="85"/>
      <c r="AH141" s="75"/>
      <c r="AI141" s="83"/>
      <c r="AJ141" s="195"/>
      <c r="AK141" s="65"/>
      <c r="AL141" s="66">
        <v>35.6</v>
      </c>
      <c r="AM141" s="546">
        <v>1940</v>
      </c>
      <c r="AN141" s="542"/>
      <c r="AO141" s="542"/>
      <c r="AP141" s="545">
        <v>891</v>
      </c>
      <c r="AQ141" s="545">
        <f t="shared" si="119"/>
        <v>91410.796875</v>
      </c>
      <c r="AR141" s="545">
        <f t="shared" si="127"/>
        <v>60.346874999988358</v>
      </c>
      <c r="AS141" s="554">
        <f t="shared" si="128"/>
        <v>2.5144531249995148</v>
      </c>
      <c r="AT141" s="545"/>
      <c r="AU141" s="559"/>
      <c r="AV141" s="546"/>
      <c r="AW141" s="546"/>
      <c r="AX141" s="66"/>
      <c r="AY141" s="66"/>
      <c r="AZ141" s="66"/>
      <c r="BA141" s="66"/>
      <c r="BB141" s="66"/>
      <c r="BC141" s="116"/>
      <c r="BD141" s="64"/>
      <c r="BE141" s="147"/>
      <c r="BF141" s="86"/>
      <c r="BG141" s="65"/>
      <c r="BH141" s="66"/>
      <c r="BI141" s="76"/>
      <c r="BJ141" s="66"/>
      <c r="BK141" s="76"/>
      <c r="BL141" s="86"/>
      <c r="BM141" s="86"/>
      <c r="BN141" s="63"/>
      <c r="BO141" s="93"/>
      <c r="BP141" s="83"/>
      <c r="BQ141" s="88"/>
      <c r="BR141" s="85"/>
      <c r="BS141" s="194"/>
      <c r="BT141" s="75"/>
      <c r="BU141" s="179"/>
      <c r="BV141" s="65"/>
      <c r="BW141" s="66">
        <v>51</v>
      </c>
      <c r="BX141" s="76">
        <v>1092</v>
      </c>
      <c r="BY141" s="443"/>
      <c r="BZ141" s="443"/>
      <c r="CA141" s="66">
        <v>459</v>
      </c>
      <c r="CB141" s="76">
        <f t="shared" si="81"/>
        <v>47484.159375000003</v>
      </c>
      <c r="CC141" s="289">
        <f t="shared" si="129"/>
        <v>61.328125</v>
      </c>
      <c r="CD141" s="289">
        <f t="shared" si="130"/>
        <v>2.5553385416666665</v>
      </c>
      <c r="CE141" s="143"/>
      <c r="CF141" s="161"/>
      <c r="CG141" s="161"/>
      <c r="CH141" s="72"/>
      <c r="CI141" s="66"/>
      <c r="CJ141" s="66"/>
      <c r="CK141" s="66"/>
      <c r="CL141" s="66"/>
      <c r="CM141" s="66"/>
      <c r="CN141" s="111"/>
    </row>
    <row r="142" spans="1:111" ht="15">
      <c r="A142" s="141">
        <f t="shared" si="73"/>
        <v>41297</v>
      </c>
      <c r="B142" s="307">
        <f t="shared" si="131"/>
        <v>0.33333333333333331</v>
      </c>
      <c r="C142" s="304">
        <f t="shared" si="116"/>
        <v>24</v>
      </c>
      <c r="D142" s="65"/>
      <c r="E142" s="66"/>
      <c r="F142" s="66"/>
      <c r="G142" s="66"/>
      <c r="H142" s="66"/>
      <c r="I142" s="66"/>
      <c r="J142" s="86"/>
      <c r="K142" s="86"/>
      <c r="L142" s="63"/>
      <c r="M142" s="86"/>
      <c r="N142" s="66"/>
      <c r="O142" s="261"/>
      <c r="P142" s="699"/>
      <c r="Q142" s="700"/>
      <c r="R142" s="701"/>
      <c r="S142" s="64"/>
      <c r="T142" s="64"/>
      <c r="U142" s="86"/>
      <c r="V142" s="65"/>
      <c r="W142" s="66"/>
      <c r="X142" s="66"/>
      <c r="Y142" s="66"/>
      <c r="Z142" s="66"/>
      <c r="AA142" s="86"/>
      <c r="AB142" s="86"/>
      <c r="AC142" s="63"/>
      <c r="AD142" s="87"/>
      <c r="AE142" s="87"/>
      <c r="AF142" s="87"/>
      <c r="AG142" s="66"/>
      <c r="AH142" s="66"/>
      <c r="AI142" s="64"/>
      <c r="AJ142" s="63"/>
      <c r="AK142" s="65"/>
      <c r="AL142" s="66">
        <v>35.6</v>
      </c>
      <c r="AM142" s="546">
        <v>1940</v>
      </c>
      <c r="AN142" s="542"/>
      <c r="AO142" s="542"/>
      <c r="AP142" s="545"/>
      <c r="AQ142" s="553"/>
      <c r="AR142" s="545"/>
      <c r="AS142" s="560"/>
      <c r="AT142" s="545"/>
      <c r="AU142" s="542"/>
      <c r="AV142" s="550"/>
      <c r="AW142" s="550"/>
      <c r="AX142" s="66"/>
      <c r="AY142" s="66"/>
      <c r="AZ142" s="66"/>
      <c r="BA142" s="66"/>
      <c r="BB142" s="66"/>
      <c r="BC142" s="116"/>
      <c r="BD142" s="64"/>
      <c r="BE142" s="147"/>
      <c r="BF142" s="86"/>
      <c r="BG142" s="65"/>
      <c r="BH142" s="66"/>
      <c r="BI142" s="66"/>
      <c r="BJ142" s="66"/>
      <c r="BK142" s="66"/>
      <c r="BL142" s="86"/>
      <c r="BM142" s="86"/>
      <c r="BN142" s="63"/>
      <c r="BO142" s="87"/>
      <c r="BP142" s="87"/>
      <c r="BQ142" s="87"/>
      <c r="BR142" s="66"/>
      <c r="BS142" s="64"/>
      <c r="BT142" s="66"/>
      <c r="BU142" s="67"/>
      <c r="BV142" s="65"/>
      <c r="BW142" s="66">
        <v>51</v>
      </c>
      <c r="BX142" s="76">
        <v>1092</v>
      </c>
      <c r="BY142" s="150"/>
      <c r="BZ142" s="150"/>
      <c r="CA142" s="76">
        <v>465</v>
      </c>
      <c r="CB142" s="76">
        <f t="shared" si="81"/>
        <v>47852.128125000003</v>
      </c>
      <c r="CC142" s="289">
        <f t="shared" ref="CC142:CC151" si="132">(CB142-CB141)/((C142/24))</f>
        <v>367.96875</v>
      </c>
      <c r="CD142" s="289">
        <f t="shared" ref="CD142:CD151" si="133">(CB142-CB141)/(C142)</f>
        <v>15.33203125</v>
      </c>
      <c r="CE142" s="72"/>
      <c r="CF142" s="66"/>
      <c r="CG142" s="72"/>
      <c r="CH142" s="180"/>
      <c r="CI142" s="66"/>
      <c r="CJ142" s="66"/>
      <c r="CK142" s="66"/>
      <c r="CL142" s="66"/>
      <c r="CM142" s="66"/>
      <c r="CN142" s="110"/>
    </row>
    <row r="143" spans="1:111">
      <c r="A143" s="141">
        <f t="shared" si="73"/>
        <v>41298</v>
      </c>
      <c r="B143" s="307">
        <f t="shared" si="131"/>
        <v>0.33333333333333331</v>
      </c>
      <c r="C143" s="304">
        <f t="shared" si="116"/>
        <v>24</v>
      </c>
      <c r="D143" s="65"/>
      <c r="E143" s="66"/>
      <c r="F143" s="66"/>
      <c r="G143" s="66"/>
      <c r="H143" s="66"/>
      <c r="I143" s="66"/>
      <c r="J143" s="86"/>
      <c r="K143" s="86"/>
      <c r="L143" s="63"/>
      <c r="M143" s="86"/>
      <c r="N143" s="66"/>
      <c r="O143" s="261"/>
      <c r="P143" s="702"/>
      <c r="Q143" s="542"/>
      <c r="R143" s="424"/>
      <c r="S143" s="86"/>
      <c r="T143" s="86"/>
      <c r="U143" s="86"/>
      <c r="V143" s="65"/>
      <c r="W143" s="66"/>
      <c r="X143" s="66"/>
      <c r="Y143" s="66"/>
      <c r="Z143" s="66"/>
      <c r="AA143" s="86"/>
      <c r="AB143" s="86"/>
      <c r="AC143" s="63"/>
      <c r="AD143" s="87"/>
      <c r="AE143" s="87"/>
      <c r="AF143" s="87"/>
      <c r="AG143" s="66"/>
      <c r="AH143" s="66"/>
      <c r="AI143" s="64"/>
      <c r="AJ143" s="63"/>
      <c r="AK143" s="65"/>
      <c r="AL143" s="66">
        <v>35.6</v>
      </c>
      <c r="AM143" s="546">
        <v>1940</v>
      </c>
      <c r="AN143" s="542"/>
      <c r="AO143" s="542"/>
      <c r="AP143" s="545"/>
      <c r="AQ143" s="553"/>
      <c r="AR143" s="545"/>
      <c r="AS143" s="560"/>
      <c r="AT143" s="545"/>
      <c r="AU143" s="542"/>
      <c r="AV143" s="550"/>
      <c r="AW143" s="550"/>
      <c r="AX143" s="66"/>
      <c r="AY143" s="66"/>
      <c r="AZ143" s="66"/>
      <c r="BA143" s="66"/>
      <c r="BB143" s="66"/>
      <c r="BC143" s="63"/>
      <c r="BD143" s="64"/>
      <c r="BE143" s="147"/>
      <c r="BF143" s="86"/>
      <c r="BG143" s="65"/>
      <c r="BH143" s="66"/>
      <c r="BI143" s="66"/>
      <c r="BJ143" s="66"/>
      <c r="BK143" s="66"/>
      <c r="BL143" s="86"/>
      <c r="BM143" s="86"/>
      <c r="BN143" s="63"/>
      <c r="BO143" s="87"/>
      <c r="BP143" s="87"/>
      <c r="BQ143" s="87"/>
      <c r="BR143" s="66"/>
      <c r="BS143" s="64"/>
      <c r="BT143" s="66"/>
      <c r="BU143" s="67"/>
      <c r="BV143" s="65"/>
      <c r="BW143" s="66">
        <v>51</v>
      </c>
      <c r="BX143" s="72">
        <v>1092</v>
      </c>
      <c r="BY143" s="150"/>
      <c r="BZ143" s="150"/>
      <c r="CA143" s="76">
        <v>469</v>
      </c>
      <c r="CB143" s="76">
        <f t="shared" si="81"/>
        <v>48097.440625000003</v>
      </c>
      <c r="CC143" s="289">
        <f t="shared" si="132"/>
        <v>245.3125</v>
      </c>
      <c r="CD143" s="289">
        <f t="shared" si="133"/>
        <v>10.221354166666666</v>
      </c>
      <c r="CE143" s="72"/>
      <c r="CF143" s="66"/>
      <c r="CG143" s="72"/>
      <c r="CH143" s="180"/>
      <c r="CI143" s="66"/>
      <c r="CJ143" s="66"/>
      <c r="CK143" s="66"/>
      <c r="CL143" s="66"/>
      <c r="CM143" s="66"/>
      <c r="CN143" s="110"/>
    </row>
    <row r="144" spans="1:111" s="533" customFormat="1" ht="85.5">
      <c r="A144" s="514">
        <f t="shared" si="73"/>
        <v>41299</v>
      </c>
      <c r="B144" s="515">
        <v>0.57291666666666663</v>
      </c>
      <c r="C144" s="516">
        <f t="shared" si="116"/>
        <v>29.75</v>
      </c>
      <c r="D144" s="517"/>
      <c r="E144" s="518"/>
      <c r="F144" s="518"/>
      <c r="G144" s="518"/>
      <c r="H144" s="518"/>
      <c r="I144" s="518"/>
      <c r="J144" s="519"/>
      <c r="K144" s="519"/>
      <c r="L144" s="520"/>
      <c r="M144" s="519"/>
      <c r="N144" s="518"/>
      <c r="O144" s="521"/>
      <c r="P144" s="695"/>
      <c r="Q144" s="542"/>
      <c r="R144" s="424"/>
      <c r="S144" s="519"/>
      <c r="T144" s="519"/>
      <c r="U144" s="519"/>
      <c r="V144" s="517"/>
      <c r="W144" s="518"/>
      <c r="X144" s="518"/>
      <c r="Y144" s="518"/>
      <c r="Z144" s="518"/>
      <c r="AA144" s="519"/>
      <c r="AB144" s="519"/>
      <c r="AC144" s="520"/>
      <c r="AD144" s="523"/>
      <c r="AE144" s="523"/>
      <c r="AF144" s="523"/>
      <c r="AG144" s="518"/>
      <c r="AH144" s="518"/>
      <c r="AI144" s="524"/>
      <c r="AJ144" s="520"/>
      <c r="AK144" s="517"/>
      <c r="AL144" s="518">
        <v>35.6</v>
      </c>
      <c r="AM144" s="546">
        <v>1942</v>
      </c>
      <c r="AN144" s="543">
        <f>312+(AM144-AM143)*AQ$1/((C144)/24)</f>
        <v>315.48504201680674</v>
      </c>
      <c r="AO144" s="544"/>
      <c r="AP144" s="546">
        <v>897</v>
      </c>
      <c r="AQ144" s="545">
        <f t="shared" ref="AQ144:AQ173" si="134">((AP144-AP$55)*AQ$2)+AQ$55</f>
        <v>91772.878125000017</v>
      </c>
      <c r="AR144" s="545"/>
      <c r="AS144" s="560"/>
      <c r="AT144" s="545"/>
      <c r="AU144" s="542"/>
      <c r="AV144" s="550"/>
      <c r="AW144" s="550"/>
      <c r="AX144" s="518"/>
      <c r="AY144" s="518"/>
      <c r="AZ144" s="518"/>
      <c r="BA144" s="518"/>
      <c r="BB144" s="518"/>
      <c r="BC144" s="528" t="s">
        <v>138</v>
      </c>
      <c r="BD144" s="524"/>
      <c r="BE144" s="529"/>
      <c r="BF144" s="519"/>
      <c r="BG144" s="517"/>
      <c r="BH144" s="518"/>
      <c r="BI144" s="518"/>
      <c r="BJ144" s="518"/>
      <c r="BK144" s="518"/>
      <c r="BL144" s="519"/>
      <c r="BM144" s="519"/>
      <c r="BN144" s="520"/>
      <c r="BO144" s="523"/>
      <c r="BP144" s="523"/>
      <c r="BQ144" s="523"/>
      <c r="BR144" s="518"/>
      <c r="BS144" s="524"/>
      <c r="BT144" s="518"/>
      <c r="BU144" s="522"/>
      <c r="BV144" s="517"/>
      <c r="BW144" s="518">
        <v>50.5</v>
      </c>
      <c r="BX144" s="525">
        <v>1093</v>
      </c>
      <c r="BY144" s="530">
        <f>342+(BX144-BX143)*CB$1/((C144)/24)</f>
        <v>343.61344537815125</v>
      </c>
      <c r="BZ144" s="531"/>
      <c r="CA144" s="526">
        <v>470</v>
      </c>
      <c r="CB144" s="526">
        <f t="shared" si="81"/>
        <v>48158.768750000003</v>
      </c>
      <c r="CC144" s="532">
        <f t="shared" si="132"/>
        <v>49.47478991596639</v>
      </c>
      <c r="CD144" s="532">
        <f t="shared" si="133"/>
        <v>2.0614495798319328</v>
      </c>
      <c r="CE144" s="525"/>
      <c r="CF144" s="518"/>
      <c r="CG144" s="525"/>
      <c r="CH144" s="527"/>
      <c r="CI144" s="518"/>
      <c r="CJ144" s="518"/>
      <c r="CK144" s="518"/>
      <c r="CL144" s="518"/>
      <c r="CM144" s="518"/>
      <c r="CN144" s="528" t="s">
        <v>137</v>
      </c>
    </row>
    <row r="145" spans="1:92" ht="15">
      <c r="A145" s="141">
        <f t="shared" si="73"/>
        <v>41300</v>
      </c>
      <c r="B145" s="307">
        <f>B142</f>
        <v>0.33333333333333331</v>
      </c>
      <c r="C145" s="304">
        <f t="shared" si="116"/>
        <v>18.25</v>
      </c>
      <c r="D145" s="65"/>
      <c r="E145" s="66"/>
      <c r="F145" s="66"/>
      <c r="G145" s="66"/>
      <c r="H145" s="66"/>
      <c r="I145" s="66"/>
      <c r="J145" s="86"/>
      <c r="K145" s="86"/>
      <c r="L145" s="63"/>
      <c r="M145" s="86"/>
      <c r="N145" s="66"/>
      <c r="O145" s="261"/>
      <c r="P145" s="699"/>
      <c r="Q145" s="700"/>
      <c r="R145" s="701"/>
      <c r="S145" s="86"/>
      <c r="T145" s="86"/>
      <c r="U145" s="86"/>
      <c r="V145" s="65"/>
      <c r="W145" s="66"/>
      <c r="X145" s="66"/>
      <c r="Y145" s="66"/>
      <c r="Z145" s="66"/>
      <c r="AA145" s="86"/>
      <c r="AB145" s="86"/>
      <c r="AC145" s="63"/>
      <c r="AD145" s="87"/>
      <c r="AE145" s="87"/>
      <c r="AF145" s="87"/>
      <c r="AG145" s="66"/>
      <c r="AH145" s="66"/>
      <c r="AI145" s="64"/>
      <c r="AJ145" s="63"/>
      <c r="AK145" s="65"/>
      <c r="AL145" s="66">
        <v>35.6</v>
      </c>
      <c r="AM145" s="546">
        <v>1975</v>
      </c>
      <c r="AN145" s="543">
        <f t="shared" ref="AN145:AN151" si="135">(AM145-AM144)*AQ$1/((C145)/24)</f>
        <v>93.738082191780833</v>
      </c>
      <c r="AO145" s="544">
        <f t="shared" ref="AO145:AO151" si="136">AQ$3/AN145</f>
        <v>15.073916245791244</v>
      </c>
      <c r="AP145" s="546">
        <v>908</v>
      </c>
      <c r="AQ145" s="545">
        <f t="shared" si="134"/>
        <v>92436.693750000006</v>
      </c>
      <c r="AR145" s="545">
        <f t="shared" ref="AR145:AR151" si="137">(AQ145-AQ144)/(C145/24)</f>
        <v>872.96301369861487</v>
      </c>
      <c r="AS145" s="554">
        <f t="shared" ref="AS145:AS151" si="138">(AQ145-AQ144)/C145</f>
        <v>36.373458904108951</v>
      </c>
      <c r="AT145" s="546">
        <f>AR145/(AN145*(AVERAGE(D$106,D$99,D$127,D$133,D$92,D$93,D$100,D$116,D$123))*AVERAGE(E$106,E$99,E$127,E$133,E$92,E$93,E$100,E$116,E$123)*0.0001)</f>
        <v>379.84294168365079</v>
      </c>
      <c r="AU145" s="542"/>
      <c r="AV145" s="548">
        <f>AR145/(AN145*AVERAGE(D$106,D$99,D$127,D$133,D$92,D$93,D$100,D$116,D$123)*0.01)</f>
        <v>293.20076668561001</v>
      </c>
      <c r="AW145" s="549">
        <f t="shared" ref="AW145:AW161" si="139">AR145/AQ$3</f>
        <v>0.61780821917807138</v>
      </c>
      <c r="AX145" s="66"/>
      <c r="AY145" s="66"/>
      <c r="AZ145" s="66"/>
      <c r="BA145" s="66"/>
      <c r="BB145" s="66"/>
      <c r="BC145" s="63"/>
      <c r="BD145" s="64"/>
      <c r="BE145" s="147"/>
      <c r="BF145" s="86"/>
      <c r="BG145" s="65"/>
      <c r="BH145" s="66"/>
      <c r="BI145" s="66"/>
      <c r="BJ145" s="66"/>
      <c r="BK145" s="66"/>
      <c r="BL145" s="86"/>
      <c r="BM145" s="86"/>
      <c r="BN145" s="63"/>
      <c r="BO145" s="87"/>
      <c r="BP145" s="87"/>
      <c r="BQ145" s="87"/>
      <c r="BR145" s="66"/>
      <c r="BS145" s="64"/>
      <c r="BT145" s="66"/>
      <c r="BU145" s="67"/>
      <c r="BV145" s="65"/>
      <c r="BW145" s="66">
        <v>51</v>
      </c>
      <c r="BX145" s="72">
        <v>1124</v>
      </c>
      <c r="BY145" s="443">
        <f t="shared" ref="BY145:BY177" si="140">(BX145-BX144)*CB$1/((C145)/24)</f>
        <v>81.534246575342465</v>
      </c>
      <c r="BZ145" s="443">
        <f t="shared" ref="BZ145:BZ178" si="141">CB$3/BY145</f>
        <v>9.1495295698924739</v>
      </c>
      <c r="CA145" s="76">
        <v>476</v>
      </c>
      <c r="CB145" s="76">
        <f t="shared" ref="CB145:CB200" si="142">((CA145-CA$55)*CB$2)+CB$55</f>
        <v>48526.737500000003</v>
      </c>
      <c r="CC145" s="289">
        <f t="shared" si="132"/>
        <v>483.90410958904113</v>
      </c>
      <c r="CD145" s="289">
        <f t="shared" si="133"/>
        <v>20.162671232876711</v>
      </c>
      <c r="CE145" s="72">
        <f>CC145/(BY145*(AVERAGE(D$106,D$99,D$127,D$133,D$92,D$93,D$100,D$116,D$123))*AVERAGE(E$106,E$99,E$127,E$133,E$92,E$93,E$100,E$116,E$123)*0.0001)</f>
        <v>242.07142625000984</v>
      </c>
      <c r="CF145" s="66"/>
      <c r="CG145" s="72">
        <f>CC145/(BY145*AVERAGE((D$106,D$99,D$127,D$133,D$92,D$93,D$100,D$116,D$123))*0.01)</f>
        <v>186.85493392238263</v>
      </c>
      <c r="CH145" s="433">
        <f t="shared" ref="CH145:CH208" si="143">CC145/CB$3</f>
        <v>0.64866502625876832</v>
      </c>
      <c r="CI145" s="66"/>
      <c r="CJ145" s="66"/>
      <c r="CK145" s="66"/>
      <c r="CL145" s="66"/>
      <c r="CM145" s="66"/>
      <c r="CN145" s="110"/>
    </row>
    <row r="146" spans="1:92">
      <c r="A146" s="141">
        <f t="shared" si="73"/>
        <v>41301</v>
      </c>
      <c r="B146" s="307">
        <f>B143</f>
        <v>0.33333333333333331</v>
      </c>
      <c r="C146" s="304">
        <f t="shared" si="116"/>
        <v>24</v>
      </c>
      <c r="D146" s="65"/>
      <c r="E146" s="66"/>
      <c r="F146" s="66"/>
      <c r="G146" s="66"/>
      <c r="H146" s="66"/>
      <c r="I146" s="66"/>
      <c r="J146" s="86"/>
      <c r="K146" s="86"/>
      <c r="L146" s="63"/>
      <c r="M146" s="86"/>
      <c r="N146" s="66"/>
      <c r="O146" s="261"/>
      <c r="P146" s="699"/>
      <c r="Q146" s="542"/>
      <c r="R146" s="424"/>
      <c r="S146" s="86"/>
      <c r="T146" s="86"/>
      <c r="U146" s="86"/>
      <c r="V146" s="65"/>
      <c r="W146" s="66"/>
      <c r="X146" s="66"/>
      <c r="Y146" s="66"/>
      <c r="Z146" s="66"/>
      <c r="AA146" s="86"/>
      <c r="AB146" s="86"/>
      <c r="AC146" s="63"/>
      <c r="AD146" s="87"/>
      <c r="AE146" s="87"/>
      <c r="AF146" s="87"/>
      <c r="AG146" s="66"/>
      <c r="AH146" s="66"/>
      <c r="AI146" s="64"/>
      <c r="AJ146" s="63"/>
      <c r="AK146" s="65"/>
      <c r="AL146" s="66">
        <v>35.6</v>
      </c>
      <c r="AM146" s="546">
        <v>2002</v>
      </c>
      <c r="AN146" s="543">
        <f t="shared" si="135"/>
        <v>58.320000000000007</v>
      </c>
      <c r="AO146" s="544">
        <f t="shared" si="136"/>
        <v>24.228395061728392</v>
      </c>
      <c r="AP146" s="546">
        <v>926</v>
      </c>
      <c r="AQ146" s="545">
        <f t="shared" si="134"/>
        <v>93522.9375</v>
      </c>
      <c r="AR146" s="545">
        <f t="shared" si="137"/>
        <v>1086.2437499999942</v>
      </c>
      <c r="AS146" s="554">
        <f t="shared" si="138"/>
        <v>45.26015624999976</v>
      </c>
      <c r="AT146" s="546">
        <f t="shared" ref="AT146:AT151" si="144">AR146/(AN146*(AVERAGE(D$106,D$99,D$127,D$133,D$92,D$93,D$100,D$116,D$123))*AVERAGE(E$106,E$99,E$127,E$133,E$92,E$93,E$100,E$116,E$123)*0.0001)</f>
        <v>759.68588336731068</v>
      </c>
      <c r="AU146" s="542"/>
      <c r="AV146" s="548">
        <f t="shared" ref="AV146:AV151" si="145">AR146/(AN146*AVERAGE(D$106,D$99,D$127,D$133,D$92,D$93,D$100,D$116,D$123)*0.01)</f>
        <v>586.40153337122706</v>
      </c>
      <c r="AW146" s="549">
        <f t="shared" si="139"/>
        <v>0.76874999999999583</v>
      </c>
      <c r="AX146" s="66"/>
      <c r="AY146" s="66"/>
      <c r="AZ146" s="66"/>
      <c r="BA146" s="66"/>
      <c r="BB146" s="66"/>
      <c r="BC146" s="63"/>
      <c r="BD146" s="64"/>
      <c r="BE146" s="147"/>
      <c r="BF146" s="86"/>
      <c r="BG146" s="65"/>
      <c r="BH146" s="66"/>
      <c r="BI146" s="66"/>
      <c r="BJ146" s="66"/>
      <c r="BK146" s="66"/>
      <c r="BL146" s="86"/>
      <c r="BM146" s="86"/>
      <c r="BN146" s="63"/>
      <c r="BO146" s="87"/>
      <c r="BP146" s="87"/>
      <c r="BQ146" s="87"/>
      <c r="BR146" s="66"/>
      <c r="BS146" s="64"/>
      <c r="BT146" s="66"/>
      <c r="BU146" s="67"/>
      <c r="BV146" s="65"/>
      <c r="BW146" s="66">
        <v>51</v>
      </c>
      <c r="BX146" s="72">
        <v>1127</v>
      </c>
      <c r="BY146" s="443">
        <f t="shared" si="140"/>
        <v>6</v>
      </c>
      <c r="BZ146" s="443">
        <f t="shared" si="141"/>
        <v>124.33333333333333</v>
      </c>
      <c r="CA146" s="76">
        <v>484</v>
      </c>
      <c r="CB146" s="76">
        <f t="shared" si="142"/>
        <v>49017.362500000003</v>
      </c>
      <c r="CC146" s="289">
        <f t="shared" si="132"/>
        <v>490.625</v>
      </c>
      <c r="CD146" s="289">
        <f t="shared" si="133"/>
        <v>20.442708333333332</v>
      </c>
      <c r="CE146" s="72"/>
      <c r="CF146" s="66"/>
      <c r="CG146" s="72"/>
      <c r="CH146" s="433">
        <f t="shared" si="143"/>
        <v>0.6576742627345844</v>
      </c>
      <c r="CI146" s="66"/>
      <c r="CJ146" s="66"/>
      <c r="CK146" s="66"/>
      <c r="CL146" s="66"/>
      <c r="CM146" s="66"/>
      <c r="CN146" s="110"/>
    </row>
    <row r="147" spans="1:92">
      <c r="A147" s="141">
        <f t="shared" ref="A147:A210" si="146">A146+1</f>
        <v>41302</v>
      </c>
      <c r="B147" s="307">
        <f t="shared" ref="B147:B153" si="147">B146</f>
        <v>0.33333333333333331</v>
      </c>
      <c r="C147" s="304">
        <f t="shared" si="116"/>
        <v>24</v>
      </c>
      <c r="D147" s="65"/>
      <c r="E147" s="66"/>
      <c r="F147" s="66"/>
      <c r="G147" s="66"/>
      <c r="H147" s="66"/>
      <c r="I147" s="66"/>
      <c r="J147" s="86"/>
      <c r="K147" s="86"/>
      <c r="L147" s="63"/>
      <c r="M147" s="86"/>
      <c r="N147" s="66"/>
      <c r="O147" s="261"/>
      <c r="P147" s="695"/>
      <c r="Q147" s="542"/>
      <c r="R147" s="424"/>
      <c r="S147" s="86"/>
      <c r="T147" s="86"/>
      <c r="U147" s="86"/>
      <c r="V147" s="65"/>
      <c r="W147" s="66"/>
      <c r="X147" s="66"/>
      <c r="Y147" s="66"/>
      <c r="Z147" s="66"/>
      <c r="AA147" s="86"/>
      <c r="AB147" s="86"/>
      <c r="AC147" s="63"/>
      <c r="AD147" s="87"/>
      <c r="AE147" s="87"/>
      <c r="AF147" s="87"/>
      <c r="AG147" s="66"/>
      <c r="AH147" s="66"/>
      <c r="AI147" s="64"/>
      <c r="AJ147" s="63"/>
      <c r="AK147" s="65"/>
      <c r="AL147" s="66">
        <v>35.6</v>
      </c>
      <c r="AM147" s="546">
        <v>2026</v>
      </c>
      <c r="AN147" s="543">
        <f t="shared" si="135"/>
        <v>51.84</v>
      </c>
      <c r="AO147" s="544">
        <f t="shared" si="136"/>
        <v>27.256944444444443</v>
      </c>
      <c r="AP147" s="546">
        <v>949</v>
      </c>
      <c r="AQ147" s="545">
        <f t="shared" si="134"/>
        <v>94910.915625000009</v>
      </c>
      <c r="AR147" s="545">
        <f t="shared" si="137"/>
        <v>1387.9781250000087</v>
      </c>
      <c r="AS147" s="554">
        <f t="shared" si="138"/>
        <v>57.832421875000364</v>
      </c>
      <c r="AT147" s="546">
        <f t="shared" si="144"/>
        <v>1092.048457340522</v>
      </c>
      <c r="AU147" s="542"/>
      <c r="AV147" s="548">
        <f t="shared" si="145"/>
        <v>842.95220422114892</v>
      </c>
      <c r="AW147" s="549">
        <f t="shared" si="139"/>
        <v>0.98229166666667289</v>
      </c>
      <c r="AX147" s="66"/>
      <c r="AY147" s="66"/>
      <c r="AZ147" s="66"/>
      <c r="BA147" s="66"/>
      <c r="BB147" s="66"/>
      <c r="BC147" s="63"/>
      <c r="BD147" s="64"/>
      <c r="BE147" s="147"/>
      <c r="BF147" s="86"/>
      <c r="BG147" s="65"/>
      <c r="BH147" s="66"/>
      <c r="BI147" s="66"/>
      <c r="BJ147" s="66"/>
      <c r="BK147" s="66"/>
      <c r="BL147" s="86"/>
      <c r="BM147" s="86"/>
      <c r="BN147" s="63"/>
      <c r="BO147" s="87"/>
      <c r="BP147" s="87"/>
      <c r="BQ147" s="87"/>
      <c r="BR147" s="66"/>
      <c r="BS147" s="64"/>
      <c r="BT147" s="66"/>
      <c r="BU147" s="67"/>
      <c r="BV147" s="65"/>
      <c r="BW147" s="66">
        <v>51</v>
      </c>
      <c r="BX147" s="72">
        <v>1154</v>
      </c>
      <c r="BY147" s="443">
        <f t="shared" si="140"/>
        <v>54</v>
      </c>
      <c r="BZ147" s="443">
        <f t="shared" si="141"/>
        <v>13.814814814814815</v>
      </c>
      <c r="CA147" s="76">
        <v>504</v>
      </c>
      <c r="CB147" s="199">
        <f t="shared" si="142"/>
        <v>50243.925000000003</v>
      </c>
      <c r="CC147" s="289">
        <f t="shared" si="132"/>
        <v>1226.5625</v>
      </c>
      <c r="CD147" s="289">
        <f t="shared" si="133"/>
        <v>51.106770833333336</v>
      </c>
      <c r="CE147" s="72">
        <f>CC147/(BY147*(AVERAGE(D$106,D$99,D$127,D$133,D$92,D$93,D$100,D$116,D$123))*AVERAGE(E$106,E$99,E$127,E$133,E$92,E$93,E$100,E$116,E$123)*0.0001)</f>
        <v>926.44619922843265</v>
      </c>
      <c r="CF147" s="66"/>
      <c r="CG147" s="72">
        <f>CC147/(BY147*AVERAGE((D$106,D$99,D$127,D$133,D$92,D$93,D$100,D$116,D$123))*0.01)</f>
        <v>715.12382118442724</v>
      </c>
      <c r="CH147" s="433"/>
      <c r="CI147" s="66"/>
      <c r="CJ147" s="66"/>
      <c r="CK147" s="66"/>
      <c r="CL147" s="66"/>
      <c r="CM147" s="66"/>
      <c r="CN147" s="110"/>
    </row>
    <row r="148" spans="1:92" ht="15">
      <c r="A148" s="141">
        <f t="shared" si="146"/>
        <v>41303</v>
      </c>
      <c r="B148" s="307">
        <f t="shared" si="147"/>
        <v>0.33333333333333331</v>
      </c>
      <c r="C148" s="304">
        <f t="shared" si="116"/>
        <v>24</v>
      </c>
      <c r="D148" s="65"/>
      <c r="E148" s="66"/>
      <c r="F148" s="66"/>
      <c r="G148" s="66"/>
      <c r="H148" s="66"/>
      <c r="I148" s="66"/>
      <c r="J148" s="86"/>
      <c r="K148" s="86"/>
      <c r="L148" s="63"/>
      <c r="M148" s="86"/>
      <c r="N148" s="66"/>
      <c r="O148" s="261"/>
      <c r="P148" s="699"/>
      <c r="Q148" s="700"/>
      <c r="R148" s="701"/>
      <c r="S148" s="86"/>
      <c r="T148" s="86"/>
      <c r="U148" s="86"/>
      <c r="V148" s="65"/>
      <c r="W148" s="66"/>
      <c r="X148" s="66"/>
      <c r="Y148" s="66"/>
      <c r="Z148" s="66"/>
      <c r="AA148" s="86"/>
      <c r="AB148" s="86"/>
      <c r="AC148" s="63"/>
      <c r="AD148" s="87"/>
      <c r="AE148" s="87"/>
      <c r="AF148" s="87"/>
      <c r="AG148" s="66"/>
      <c r="AH148" s="66"/>
      <c r="AI148" s="64"/>
      <c r="AJ148" s="63"/>
      <c r="AK148" s="65"/>
      <c r="AL148" s="66">
        <v>35.6</v>
      </c>
      <c r="AM148" s="546">
        <v>2055</v>
      </c>
      <c r="AN148" s="543">
        <f t="shared" si="135"/>
        <v>62.64</v>
      </c>
      <c r="AO148" s="544">
        <f t="shared" si="136"/>
        <v>22.557471264367816</v>
      </c>
      <c r="AP148" s="546">
        <v>971</v>
      </c>
      <c r="AQ148" s="545">
        <f t="shared" si="134"/>
        <v>96238.546875</v>
      </c>
      <c r="AR148" s="545">
        <f t="shared" si="137"/>
        <v>1327.6312499999913</v>
      </c>
      <c r="AS148" s="554">
        <f t="shared" si="138"/>
        <v>55.317968749999636</v>
      </c>
      <c r="AT148" s="546">
        <f t="shared" si="144"/>
        <v>864.47014314211128</v>
      </c>
      <c r="AU148" s="542"/>
      <c r="AV148" s="548">
        <f t="shared" si="145"/>
        <v>667.28450349139564</v>
      </c>
      <c r="AW148" s="549">
        <f t="shared" si="139"/>
        <v>0.93958333333332711</v>
      </c>
      <c r="AX148" s="66"/>
      <c r="AY148" s="66"/>
      <c r="AZ148" s="66"/>
      <c r="BA148" s="66"/>
      <c r="BB148" s="66"/>
      <c r="BC148" s="63"/>
      <c r="BD148" s="64"/>
      <c r="BE148" s="147"/>
      <c r="BF148" s="86"/>
      <c r="BG148" s="65"/>
      <c r="BH148" s="66"/>
      <c r="BI148" s="66"/>
      <c r="BJ148" s="66"/>
      <c r="BK148" s="66"/>
      <c r="BL148" s="86"/>
      <c r="BM148" s="86"/>
      <c r="BN148" s="63"/>
      <c r="BO148" s="87"/>
      <c r="BP148" s="87"/>
      <c r="BQ148" s="87"/>
      <c r="BR148" s="66"/>
      <c r="BS148" s="64"/>
      <c r="BT148" s="66"/>
      <c r="BU148" s="67"/>
      <c r="BV148" s="65"/>
      <c r="BW148" s="66">
        <v>51</v>
      </c>
      <c r="BX148" s="72">
        <v>1156</v>
      </c>
      <c r="BY148" s="443">
        <f t="shared" si="140"/>
        <v>4</v>
      </c>
      <c r="BZ148" s="443">
        <f t="shared" si="141"/>
        <v>186.5</v>
      </c>
      <c r="CA148" s="76">
        <v>532</v>
      </c>
      <c r="CB148" s="199">
        <f t="shared" si="142"/>
        <v>51961.112500000003</v>
      </c>
      <c r="CC148" s="289">
        <f t="shared" si="132"/>
        <v>1717.1875</v>
      </c>
      <c r="CD148" s="289">
        <f t="shared" si="133"/>
        <v>71.549479166666671</v>
      </c>
      <c r="CE148" s="72"/>
      <c r="CF148" s="66"/>
      <c r="CG148" s="72"/>
      <c r="CH148" s="433"/>
      <c r="CI148" s="66"/>
      <c r="CJ148" s="66"/>
      <c r="CK148" s="66"/>
      <c r="CL148" s="66"/>
      <c r="CM148" s="66"/>
      <c r="CN148" s="110"/>
    </row>
    <row r="149" spans="1:92">
      <c r="A149" s="141">
        <f t="shared" si="146"/>
        <v>41304</v>
      </c>
      <c r="B149" s="307">
        <f t="shared" si="147"/>
        <v>0.33333333333333331</v>
      </c>
      <c r="C149" s="304">
        <f t="shared" si="116"/>
        <v>24</v>
      </c>
      <c r="D149" s="65"/>
      <c r="E149" s="66"/>
      <c r="F149" s="66"/>
      <c r="G149" s="66"/>
      <c r="H149" s="66"/>
      <c r="I149" s="66"/>
      <c r="J149" s="86"/>
      <c r="K149" s="86"/>
      <c r="L149" s="63"/>
      <c r="M149" s="86"/>
      <c r="N149" s="66"/>
      <c r="O149" s="261"/>
      <c r="P149" s="695"/>
      <c r="Q149" s="542"/>
      <c r="R149" s="424"/>
      <c r="S149" s="86"/>
      <c r="T149" s="86"/>
      <c r="U149" s="86"/>
      <c r="V149" s="65"/>
      <c r="W149" s="66"/>
      <c r="X149" s="66"/>
      <c r="Y149" s="66"/>
      <c r="Z149" s="66"/>
      <c r="AA149" s="86"/>
      <c r="AB149" s="86"/>
      <c r="AC149" s="63"/>
      <c r="AD149" s="87"/>
      <c r="AE149" s="87"/>
      <c r="AF149" s="87"/>
      <c r="AG149" s="66"/>
      <c r="AH149" s="66"/>
      <c r="AI149" s="64"/>
      <c r="AJ149" s="63"/>
      <c r="AK149" s="65"/>
      <c r="AL149" s="66">
        <v>35.6</v>
      </c>
      <c r="AM149" s="546">
        <v>2069</v>
      </c>
      <c r="AN149" s="543">
        <f t="shared" si="135"/>
        <v>30.240000000000002</v>
      </c>
      <c r="AO149" s="544">
        <f t="shared" si="136"/>
        <v>46.726190476190474</v>
      </c>
      <c r="AP149" s="546">
        <v>985</v>
      </c>
      <c r="AQ149" s="545">
        <f t="shared" si="134"/>
        <v>97083.403125000012</v>
      </c>
      <c r="AR149" s="545">
        <f t="shared" si="137"/>
        <v>844.85625000001164</v>
      </c>
      <c r="AS149" s="554">
        <f t="shared" si="138"/>
        <v>35.202343750000487</v>
      </c>
      <c r="AT149" s="546">
        <f t="shared" si="144"/>
        <v>1139.528825050988</v>
      </c>
      <c r="AU149" s="542"/>
      <c r="AV149" s="548">
        <f t="shared" si="145"/>
        <v>879.60230005685753</v>
      </c>
      <c r="AW149" s="549">
        <f t="shared" si="139"/>
        <v>0.59791666666667487</v>
      </c>
      <c r="AX149" s="66"/>
      <c r="AY149" s="66"/>
      <c r="AZ149" s="66"/>
      <c r="BA149" s="66"/>
      <c r="BB149" s="66"/>
      <c r="BC149" s="63"/>
      <c r="BD149" s="64"/>
      <c r="BE149" s="147"/>
      <c r="BF149" s="86"/>
      <c r="BG149" s="65"/>
      <c r="BH149" s="66"/>
      <c r="BI149" s="66"/>
      <c r="BJ149" s="66"/>
      <c r="BK149" s="66"/>
      <c r="BL149" s="86"/>
      <c r="BM149" s="86"/>
      <c r="BN149" s="63"/>
      <c r="BO149" s="87"/>
      <c r="BP149" s="87"/>
      <c r="BQ149" s="87"/>
      <c r="BR149" s="66"/>
      <c r="BS149" s="64"/>
      <c r="BT149" s="66"/>
      <c r="BU149" s="67"/>
      <c r="BV149" s="65"/>
      <c r="BW149" s="66">
        <v>51</v>
      </c>
      <c r="BX149" s="72">
        <v>1172</v>
      </c>
      <c r="BY149" s="443">
        <f t="shared" si="140"/>
        <v>32</v>
      </c>
      <c r="BZ149" s="443">
        <f t="shared" si="141"/>
        <v>23.3125</v>
      </c>
      <c r="CA149" s="76">
        <v>545</v>
      </c>
      <c r="CB149" s="199">
        <f t="shared" si="142"/>
        <v>52758.378125000003</v>
      </c>
      <c r="CC149" s="289">
        <f t="shared" si="132"/>
        <v>797.265625</v>
      </c>
      <c r="CD149" s="289">
        <f t="shared" si="133"/>
        <v>33.219401041666664</v>
      </c>
      <c r="CE149" s="72">
        <f>CC149/(AVERAGE(BY150,BY149)*(AVERAGE(D$106,D$99,D$127,D$133,D$92,D$93,D$100,D$116,D$123))*AVERAGE(E$106,E$99,E$127,E$133,E$92,E$93,E$100,E$116,E$123)*0.0001)</f>
        <v>739.0513998390453</v>
      </c>
      <c r="CF149" s="66"/>
      <c r="CG149" s="72">
        <f>CC149/(BY149*AVERAGE((D$106,D$99,D$127,D$133,D$92,D$93,D$100,D$116,D$123))*0.01)</f>
        <v>784.40144136166862</v>
      </c>
      <c r="CH149" s="433">
        <f t="shared" si="143"/>
        <v>1.0687206769436997</v>
      </c>
      <c r="CI149" s="66"/>
      <c r="CJ149" s="66"/>
      <c r="CK149" s="66"/>
      <c r="CL149" s="66"/>
      <c r="CM149" s="66"/>
      <c r="CN149" s="110"/>
    </row>
    <row r="150" spans="1:92" s="337" customFormat="1">
      <c r="A150" s="309">
        <f t="shared" si="146"/>
        <v>41305</v>
      </c>
      <c r="B150" s="307">
        <f t="shared" si="147"/>
        <v>0.33333333333333331</v>
      </c>
      <c r="C150" s="304">
        <f t="shared" si="116"/>
        <v>24</v>
      </c>
      <c r="D150" s="318">
        <v>3.4</v>
      </c>
      <c r="E150" s="319">
        <v>77.099999999999994</v>
      </c>
      <c r="F150" s="313">
        <v>27900</v>
      </c>
      <c r="G150" s="319"/>
      <c r="H150" s="319">
        <v>46.3</v>
      </c>
      <c r="I150" s="313">
        <v>4218</v>
      </c>
      <c r="J150" s="313">
        <v>2160</v>
      </c>
      <c r="K150" s="317">
        <v>13.3</v>
      </c>
      <c r="L150" s="320">
        <v>244</v>
      </c>
      <c r="M150" s="317"/>
      <c r="N150" s="319"/>
      <c r="O150" s="316"/>
      <c r="P150" s="695"/>
      <c r="Q150" s="542"/>
      <c r="R150" s="424"/>
      <c r="S150" s="317"/>
      <c r="T150" s="317"/>
      <c r="U150" s="317"/>
      <c r="V150" s="318">
        <v>2.1</v>
      </c>
      <c r="W150" s="319">
        <v>64.099999999999994</v>
      </c>
      <c r="X150" s="348">
        <v>22600</v>
      </c>
      <c r="Y150" s="319">
        <v>37.700000000000003</v>
      </c>
      <c r="Z150" s="348">
        <v>1089</v>
      </c>
      <c r="AA150" s="315">
        <v>359</v>
      </c>
      <c r="AB150" s="315">
        <v>33.79</v>
      </c>
      <c r="AC150" s="320">
        <v>172</v>
      </c>
      <c r="AD150" s="391">
        <f>D133*(100-E133)/(100-W150)</f>
        <v>1.9699164345403892</v>
      </c>
      <c r="AE150" s="387">
        <f>D133-V150</f>
        <v>1.1000000000000001</v>
      </c>
      <c r="AF150" s="393">
        <f>100*(AVERAGE(D101,D116,D123,D106,D99,D93,D92,D127,D133)-V150)/AVERAGE(D101,D116,D123,D106,D99,D93,D92,D127,D133)</f>
        <v>33.753943217665615</v>
      </c>
      <c r="AG150" s="393">
        <f>100*(1-((100-AVERAGE(E101,E116,E123,E106,E99,E93,E92,E127,E133))/(100-W150)))</f>
        <v>36.02290312596714</v>
      </c>
      <c r="AH150" s="387">
        <f>E133-W150</f>
        <v>13.800000000000011</v>
      </c>
      <c r="AI150" s="393">
        <f>100*(1-((V150*W150)/(AVERAGE(D101,D116,D123,D106,D99,D93,D92,D127,D133)*AVERAGE(E101,E116,E123,E106,E99,E93,E92,E127,E133))))</f>
        <v>44.875376598928717</v>
      </c>
      <c r="AJ150" s="389">
        <f>100*100*((AVERAGE(E101,E116,E123,E106,E99,E93,E92,E127,E133)-W150)/((100-W150)*AVERAGE(E101,E116,E123,E106,E99,E93,E92,E127,E133)))</f>
        <v>46.76342196392627</v>
      </c>
      <c r="AK150" s="318"/>
      <c r="AL150" s="319">
        <v>35.6</v>
      </c>
      <c r="AM150" s="546">
        <v>2079</v>
      </c>
      <c r="AN150" s="543">
        <f t="shared" si="135"/>
        <v>21.6</v>
      </c>
      <c r="AO150" s="544">
        <f t="shared" si="136"/>
        <v>65.416666666666657</v>
      </c>
      <c r="AP150" s="546">
        <v>995</v>
      </c>
      <c r="AQ150" s="545">
        <f t="shared" si="134"/>
        <v>97686.871875000012</v>
      </c>
      <c r="AR150" s="545">
        <f t="shared" si="137"/>
        <v>603.46875</v>
      </c>
      <c r="AS150" s="554">
        <f t="shared" si="138"/>
        <v>25.14453125</v>
      </c>
      <c r="AT150" s="546">
        <f t="shared" si="144"/>
        <v>1139.5288250509723</v>
      </c>
      <c r="AU150" s="546">
        <f>(AQ150-AQ121)/(AVERAGE(AN121:AN150)*((AVERAGE(D133,D123,D116,D106,D135,D101,D127)*AVERAGE(E133,E123,E116,E106,E135,E101,E127))-(V150*W150))*0.0001*(SUM(C121:C150)/24))</f>
        <v>713.44628234054733</v>
      </c>
      <c r="AV150" s="548">
        <f t="shared" si="145"/>
        <v>879.60230005684559</v>
      </c>
      <c r="AW150" s="549">
        <f t="shared" si="139"/>
        <v>0.42708333333333331</v>
      </c>
      <c r="AX150" s="319"/>
      <c r="AY150" s="319"/>
      <c r="AZ150" s="319"/>
      <c r="BA150" s="319"/>
      <c r="BB150" s="319"/>
      <c r="BC150" s="320" t="s">
        <v>139</v>
      </c>
      <c r="BD150" s="368"/>
      <c r="BE150" s="330"/>
      <c r="BF150" s="317"/>
      <c r="BG150" s="318">
        <v>2.2000000000000002</v>
      </c>
      <c r="BH150" s="319">
        <v>66.099999999999994</v>
      </c>
      <c r="BI150" s="348">
        <v>27400</v>
      </c>
      <c r="BJ150" s="319">
        <v>36.4</v>
      </c>
      <c r="BK150" s="348">
        <v>3657</v>
      </c>
      <c r="BL150" s="317">
        <v>933</v>
      </c>
      <c r="BM150" s="317">
        <v>31.28</v>
      </c>
      <c r="BN150" s="320">
        <v>127</v>
      </c>
      <c r="BO150" s="391">
        <f>D133*(100-E133)/(100-BH150)</f>
        <v>2.0861356932153385</v>
      </c>
      <c r="BP150" s="387">
        <f>D133-BG150</f>
        <v>1</v>
      </c>
      <c r="BQ150" s="392">
        <f>100*(AVERAGE(D101,D116,D123,D106,D99,D93,D92,D127,D133)-BG150)/AVERAGE(D101,D116,D123,D106,D99,D93,D92,D127,D133)</f>
        <v>30.599369085173493</v>
      </c>
      <c r="BR150" s="393">
        <f>100*(1-((100-AVERAGE(E101,E116,E123,E106,E99,E93,E92,E127,E133))/(100-BH150)))</f>
        <v>32.248443133398844</v>
      </c>
      <c r="BS150" s="387">
        <f>E133-BH150</f>
        <v>11.800000000000011</v>
      </c>
      <c r="BT150" s="392">
        <f>100*(1-((BG150*BH150)/(AVERAGE(D101,D116,D123,D106,D99,D93,D92,D127,D133)*AVERAGE(E101,E116,E123,E106,E99,E93,E92,E127,E133))))</f>
        <v>40.448534767225418</v>
      </c>
      <c r="BU150" s="389">
        <f>100*100*((AVERAGE(E101,E116,E123,E106,E99,E93,E92,E127,E133)-BH150)/((100-BH150)*AVERAGE(E101,E116,E123,E106,E99,E93,E92,E127,E133)))</f>
        <v>41.863576310142882</v>
      </c>
      <c r="BV150" s="318"/>
      <c r="BW150" s="319">
        <v>51</v>
      </c>
      <c r="BX150" s="72">
        <v>1200</v>
      </c>
      <c r="BY150" s="443">
        <f t="shared" si="140"/>
        <v>56</v>
      </c>
      <c r="BZ150" s="443">
        <f t="shared" si="141"/>
        <v>13.321428571428571</v>
      </c>
      <c r="CA150" s="319">
        <v>556</v>
      </c>
      <c r="CB150" s="348">
        <f t="shared" si="142"/>
        <v>53432.987500000003</v>
      </c>
      <c r="CC150" s="289">
        <f t="shared" si="132"/>
        <v>674.609375</v>
      </c>
      <c r="CD150" s="289">
        <f t="shared" si="133"/>
        <v>28.108723958333332</v>
      </c>
      <c r="CE150" s="72">
        <f>CC150/(AVERAGE(BY149,BY150)*(AVERAGE(D$106,D$99,D$127,D$133,D$92,D$93,D$100,D$116,D$123))*AVERAGE(E$106,E$99,E$127,E$133,E$92,E$93,E$100,E$116,E$123)*0.0001)</f>
        <v>625.35118447919217</v>
      </c>
      <c r="CF150" s="313">
        <f>(CB150-CB121)/(AVERAGE(BY121:BY150)*((AVERAGE(D123,D116,D127,D135,D133)*AVERAGE(E123,E116,E133,E127,E135))-(BG150*BH150))*0.0001*(SUM(C121:C150)/24))</f>
        <v>946.20320125098567</v>
      </c>
      <c r="CG150" s="72">
        <f>CC150/(BY150*AVERAGE((D$106,D$99,D$127,D$133,D$92,D$93,D$100,D$116,D$123))*0.01)</f>
        <v>379.27102659245514</v>
      </c>
      <c r="CH150" s="433">
        <f t="shared" si="143"/>
        <v>0.90430211126005366</v>
      </c>
      <c r="CI150" s="319"/>
      <c r="CJ150" s="319"/>
      <c r="CK150" s="319"/>
      <c r="CL150" s="319"/>
      <c r="CM150" s="319"/>
      <c r="CN150" s="442"/>
    </row>
    <row r="151" spans="1:92" s="337" customFormat="1" ht="15">
      <c r="A151" s="309">
        <f t="shared" si="146"/>
        <v>41306</v>
      </c>
      <c r="B151" s="307">
        <f t="shared" si="147"/>
        <v>0.33333333333333331</v>
      </c>
      <c r="C151" s="304">
        <f t="shared" si="116"/>
        <v>24</v>
      </c>
      <c r="D151" s="339">
        <v>2.99</v>
      </c>
      <c r="E151" s="365">
        <v>76.17</v>
      </c>
      <c r="F151" s="319"/>
      <c r="G151" s="319"/>
      <c r="H151" s="319"/>
      <c r="I151" s="319"/>
      <c r="J151" s="317"/>
      <c r="K151" s="317"/>
      <c r="L151" s="320"/>
      <c r="M151" s="317"/>
      <c r="N151" s="319"/>
      <c r="O151" s="316"/>
      <c r="P151" s="699"/>
      <c r="Q151" s="700"/>
      <c r="R151" s="701"/>
      <c r="S151" s="317"/>
      <c r="T151" s="317"/>
      <c r="U151" s="317"/>
      <c r="V151" s="510">
        <v>2</v>
      </c>
      <c r="W151" s="369">
        <v>66.67</v>
      </c>
      <c r="X151" s="313"/>
      <c r="Y151" s="319"/>
      <c r="Z151" s="313"/>
      <c r="AA151" s="315"/>
      <c r="AB151" s="315"/>
      <c r="AC151" s="320"/>
      <c r="AD151" s="391">
        <f>D150*(100-E150)/(100-W151)</f>
        <v>2.3360336033603364</v>
      </c>
      <c r="AE151" s="387">
        <f>D150-V151</f>
        <v>1.4</v>
      </c>
      <c r="AF151" s="393">
        <f>100*(AVERAGE(D101,D116,D123,D106,D99,D93,D92,D127,D133,D150)-V151)/AVERAGE(D101,D116,D123,D106,D99,D93,D92,D127,D133,D150)</f>
        <v>37.362981522079536</v>
      </c>
      <c r="AG151" s="393">
        <f>100*(1-((100-AVERAGE(E101,E116,E123,E106,E99,E93,E92,E127,E133,E150))/(100-W151)))</f>
        <v>31.110111011101072</v>
      </c>
      <c r="AH151" s="387">
        <f>E150-W151</f>
        <v>10.429999999999993</v>
      </c>
      <c r="AI151" s="393">
        <f>100*(1-((V151*W151)/(AVERAGE(D101,D116,D123,D106,D99,D93,D92,D127,D133,D150)*AVERAGE(E101,E116,E123,E106,E99,E93,E92,E127,E133,E150))))</f>
        <v>45.793558821857019</v>
      </c>
      <c r="AJ151" s="389">
        <f>100*100*((AVERAGE(E101,E116,E123,E106,E99,E93,E92,E127,E133,E150)-W151)/((100-W151)*AVERAGE(E101,E116,E123,E106,E99,E93,E92,E127,E133,E150)))</f>
        <v>40.382288206104803</v>
      </c>
      <c r="AK151" s="318">
        <v>7.18</v>
      </c>
      <c r="AL151" s="470">
        <v>33.700000000000003</v>
      </c>
      <c r="AM151" s="313">
        <v>2107</v>
      </c>
      <c r="AN151" s="89">
        <f t="shared" si="135"/>
        <v>60.480000000000004</v>
      </c>
      <c r="AO151" s="488">
        <f t="shared" si="136"/>
        <v>23.363095238095237</v>
      </c>
      <c r="AP151" s="313">
        <v>1007</v>
      </c>
      <c r="AQ151" s="76">
        <f t="shared" si="134"/>
        <v>98411.034375000017</v>
      </c>
      <c r="AR151" s="76">
        <f t="shared" si="137"/>
        <v>724.16250000000582</v>
      </c>
      <c r="AS151" s="230">
        <f t="shared" si="138"/>
        <v>30.173437500000244</v>
      </c>
      <c r="AT151" s="72">
        <f t="shared" si="144"/>
        <v>488.36949645042057</v>
      </c>
      <c r="AU151" s="313">
        <f>(AQ151-AQ122)/(AVERAGE(AN122:AN151)*((AVERAGE(D133,D127,D123,D116,D150,D106,D135)*AVERAGE(E133,E127,E123,E116,E150,E106,E135))-(V151*W151))*0.0001*(SUM(C122:C151)/24))</f>
        <v>679.69046076885115</v>
      </c>
      <c r="AV151" s="143">
        <f t="shared" si="145"/>
        <v>376.97241431007967</v>
      </c>
      <c r="AW151" s="511">
        <f t="shared" si="139"/>
        <v>0.51250000000000417</v>
      </c>
      <c r="AX151" s="319">
        <v>68</v>
      </c>
      <c r="AY151" s="319">
        <v>31.9</v>
      </c>
      <c r="AZ151" s="319">
        <v>0</v>
      </c>
      <c r="BA151" s="319">
        <v>48</v>
      </c>
      <c r="BB151" s="319">
        <v>105</v>
      </c>
      <c r="BC151" s="320"/>
      <c r="BD151" s="368"/>
      <c r="BE151" s="330"/>
      <c r="BF151" s="317"/>
      <c r="BG151" s="384">
        <v>2.1</v>
      </c>
      <c r="BH151" s="369">
        <v>64.62</v>
      </c>
      <c r="BI151" s="319"/>
      <c r="BJ151" s="319"/>
      <c r="BK151" s="319"/>
      <c r="BL151" s="317"/>
      <c r="BM151" s="317"/>
      <c r="BN151" s="320"/>
      <c r="BO151" s="376">
        <f>D150*(100-E150)/(100-BH151)</f>
        <v>2.200678349349916</v>
      </c>
      <c r="BP151" s="372">
        <f>D150-BG151</f>
        <v>1.2999999999999998</v>
      </c>
      <c r="BQ151" s="374">
        <f>100*(AVERAGE(D101,D116,D123,D106,D99,D93,D92,D127,D133,D150)-BG151)/AVERAGE(D101,D116,D123,D106,D99,D93,D92,D127,D133,D150)</f>
        <v>34.231130598183519</v>
      </c>
      <c r="BR151" s="367">
        <f>100*(1-((100-AVERAGE(E101,E116,E123,E106,E99,E93,E92,E127,E133,E150))/(100-BH151)))</f>
        <v>35.101752402487243</v>
      </c>
      <c r="BS151" s="375">
        <f>E150-BH151</f>
        <v>12.47999999999999</v>
      </c>
      <c r="BT151" s="312">
        <f>100*(1-((BG151*BH151)/(AVERAGE(D101,D116,D123,D106,D99,D93,D92,D127,D133,D150)*AVERAGE(E101,E116,E123,E106,E99,E93,E92,E127,E133,E150))))</f>
        <v>44.833339727340928</v>
      </c>
      <c r="BU151" s="412">
        <f>100*100*((AVERAGE(E101,E116,E123,E106,E99,E93,E92,E127,E133,E150)-BH151)/((100-BH151)*AVERAGE(E101,E116,E123,E106,E99,E93,E92,E127,E133,E150)))</f>
        <v>45.563613757301155</v>
      </c>
      <c r="BV151" s="318">
        <v>7.3</v>
      </c>
      <c r="BW151" s="365">
        <v>47.3</v>
      </c>
      <c r="BX151" s="72">
        <v>1209</v>
      </c>
      <c r="BY151" s="443">
        <f t="shared" si="140"/>
        <v>18</v>
      </c>
      <c r="BZ151" s="443">
        <f t="shared" si="141"/>
        <v>41.444444444444443</v>
      </c>
      <c r="CA151" s="348">
        <v>566</v>
      </c>
      <c r="CB151" s="493">
        <f t="shared" si="142"/>
        <v>54046.268750000003</v>
      </c>
      <c r="CC151" s="289">
        <f t="shared" si="132"/>
        <v>613.28125</v>
      </c>
      <c r="CD151" s="289">
        <f t="shared" si="133"/>
        <v>25.553385416666668</v>
      </c>
      <c r="CE151" s="72">
        <f>CC151/(AVERAGE(BY152,BY151)*(AVERAGE(D$106,D$99,D$127,D$133,D$92,D$93,D$100,D$116,D$123))*AVERAGE(E$106,E$99,E$127,E$133,E$92,E$93,E$100,E$116,E$123)*0.0001)</f>
        <v>758.00143573235414</v>
      </c>
      <c r="CF151" s="313">
        <f>(CB151-CB122)/(AVERAGE(BY122:BY151)*((AVERAGE(D123,D135,D127,D150,D134)*AVERAGE(E123,E135,E134,E127,E150))-(BG151*BH151))*0.0001*(SUM(C122:C151)/24))</f>
        <v>796.79858903752847</v>
      </c>
      <c r="CG151" s="72">
        <f>CC151/(AVERAGE(BY152,BY151)*AVERAGE((D$106,D$99,D$127,D$133,D$92,D$93,D$100,D$116,D$123))*0.01)</f>
        <v>585.10130824180419</v>
      </c>
      <c r="CH151" s="433">
        <f t="shared" si="143"/>
        <v>0.82209282841823061</v>
      </c>
      <c r="CI151" s="319">
        <v>70.3</v>
      </c>
      <c r="CJ151" s="319">
        <v>29.7</v>
      </c>
      <c r="CK151" s="319">
        <v>0</v>
      </c>
      <c r="CL151" s="319">
        <v>121</v>
      </c>
      <c r="CM151" s="319">
        <v>290</v>
      </c>
      <c r="CN151" s="539" t="s">
        <v>139</v>
      </c>
    </row>
    <row r="152" spans="1:92" ht="15">
      <c r="A152" s="141">
        <f t="shared" si="146"/>
        <v>41307</v>
      </c>
      <c r="B152" s="307">
        <f t="shared" si="147"/>
        <v>0.33333333333333331</v>
      </c>
      <c r="C152" s="304">
        <f t="shared" si="116"/>
        <v>24</v>
      </c>
      <c r="D152" s="65"/>
      <c r="E152" s="66"/>
      <c r="F152" s="66"/>
      <c r="G152" s="66"/>
      <c r="H152" s="66"/>
      <c r="I152" s="66"/>
      <c r="J152" s="86"/>
      <c r="K152" s="86"/>
      <c r="L152" s="63"/>
      <c r="M152" s="86"/>
      <c r="N152" s="66"/>
      <c r="O152" s="261"/>
      <c r="P152" s="699"/>
      <c r="Q152" s="700"/>
      <c r="R152" s="701"/>
      <c r="S152" s="86"/>
      <c r="T152" s="86"/>
      <c r="U152" s="86"/>
      <c r="V152" s="65"/>
      <c r="W152" s="66"/>
      <c r="X152" s="66"/>
      <c r="Y152" s="66"/>
      <c r="Z152" s="66"/>
      <c r="AA152" s="86"/>
      <c r="AB152" s="86"/>
      <c r="AC152" s="63"/>
      <c r="AD152" s="87"/>
      <c r="AE152" s="87"/>
      <c r="AF152" s="87"/>
      <c r="AG152" s="66"/>
      <c r="AH152" s="66"/>
      <c r="AI152" s="64"/>
      <c r="AJ152" s="63"/>
      <c r="AK152" s="65"/>
      <c r="AL152" s="66">
        <v>35.6</v>
      </c>
      <c r="AM152" s="72">
        <v>2134</v>
      </c>
      <c r="AN152" s="89">
        <f t="shared" ref="AN152:AN162" si="148">(AM152-AM151)*AQ$1/((C152)/24)</f>
        <v>58.320000000000007</v>
      </c>
      <c r="AO152" s="488">
        <f t="shared" ref="AO152:AO162" si="149">AQ$3/AN152</f>
        <v>24.228395061728392</v>
      </c>
      <c r="AP152" s="72">
        <v>1020</v>
      </c>
      <c r="AQ152" s="199">
        <f t="shared" si="134"/>
        <v>99195.543750000012</v>
      </c>
      <c r="AR152" s="76">
        <f t="shared" ref="AR152:AR169" si="150">(AQ152-AQ151)/(C152/24)</f>
        <v>784.50937499999418</v>
      </c>
      <c r="AS152" s="230">
        <f t="shared" ref="AS152:AS169" si="151">(AQ152-AQ151)/C152</f>
        <v>32.68789062499976</v>
      </c>
      <c r="AT152" s="72">
        <f>AR152/(AN152*(AVERAGE(D$106,D$99,D$127,D$133,D$150,D$151,D$100,D$116,D$123))*AVERAGE(E$106,E$99,E$127,E$133,E$150,E$151,E$100,E$116,E$123)*0.0001)</f>
        <v>537.98956112995836</v>
      </c>
      <c r="AU152" s="66"/>
      <c r="AV152" s="143">
        <f>AR152/(AN152*AVERAGE(D$106,D$99,D$127,D$133,D$150,D$151,D$100,D$116,D$123)*0.01)</f>
        <v>416.62584100855389</v>
      </c>
      <c r="AW152" s="511">
        <f t="shared" si="139"/>
        <v>0.5552083333333292</v>
      </c>
      <c r="AX152" s="66"/>
      <c r="AY152" s="66"/>
      <c r="AZ152" s="66"/>
      <c r="BA152" s="66"/>
      <c r="BB152" s="66"/>
      <c r="BC152" s="63"/>
      <c r="BD152" s="64"/>
      <c r="BE152" s="147"/>
      <c r="BF152" s="86"/>
      <c r="BG152" s="65"/>
      <c r="BH152" s="66"/>
      <c r="BI152" s="66"/>
      <c r="BJ152" s="66"/>
      <c r="BK152" s="66"/>
      <c r="BL152" s="86"/>
      <c r="BM152" s="86"/>
      <c r="BN152" s="63"/>
      <c r="BO152" s="87"/>
      <c r="BP152" s="87"/>
      <c r="BQ152" s="87"/>
      <c r="BR152" s="66"/>
      <c r="BS152" s="64"/>
      <c r="BT152" s="66"/>
      <c r="BU152" s="67"/>
      <c r="BV152" s="65"/>
      <c r="BW152" s="66">
        <v>51</v>
      </c>
      <c r="BX152" s="72">
        <v>1233</v>
      </c>
      <c r="BY152" s="443">
        <f t="shared" si="140"/>
        <v>48</v>
      </c>
      <c r="BZ152" s="443">
        <f t="shared" si="141"/>
        <v>15.541666666666666</v>
      </c>
      <c r="CA152" s="76">
        <v>578</v>
      </c>
      <c r="CB152" s="199">
        <f t="shared" si="142"/>
        <v>54782.206250000003</v>
      </c>
      <c r="CC152" s="289">
        <f t="shared" ref="CC152:CC169" si="152">(CB152-CB151)/((C152/24))</f>
        <v>735.9375</v>
      </c>
      <c r="CD152" s="289">
        <f t="shared" ref="CD152:CD169" si="153">(CB152-CB151)/(C152)</f>
        <v>30.6640625</v>
      </c>
      <c r="CE152" s="72">
        <f>CC152/(AVERAGE(BY152,BY151)*(AVERAGE(D$106,D$99,D$127,D$133,D$150,D$151,D$100,D$116,D$123))*AVERAGE(E$106,E$99,E$127,E$133,E$150,E$151,E$100,E$116,E$123)*0.0001)</f>
        <v>891.90832921426477</v>
      </c>
      <c r="CF152" s="66"/>
      <c r="CG152" s="72">
        <f>CC152/(AVERAGE(BY153,BY152)*AVERAGE((D$106,D$99,D$127,D$133,D$92,D$93,D$100,D$116,D$123))*0.01)</f>
        <v>681.4709354816307</v>
      </c>
      <c r="CH152" s="433">
        <f t="shared" si="143"/>
        <v>0.98651139410187672</v>
      </c>
      <c r="CI152" s="66"/>
      <c r="CJ152" s="66"/>
      <c r="CK152" s="66"/>
      <c r="CL152" s="66"/>
      <c r="CM152" s="66"/>
      <c r="CN152" s="110"/>
    </row>
    <row r="153" spans="1:92" s="69" customFormat="1">
      <c r="A153" s="141">
        <f t="shared" si="146"/>
        <v>41308</v>
      </c>
      <c r="B153" s="307">
        <f t="shared" si="147"/>
        <v>0.33333333333333331</v>
      </c>
      <c r="C153" s="304">
        <f t="shared" si="116"/>
        <v>24</v>
      </c>
      <c r="D153" s="65"/>
      <c r="E153" s="66"/>
      <c r="F153" s="66"/>
      <c r="G153" s="66"/>
      <c r="H153" s="66"/>
      <c r="I153" s="66"/>
      <c r="J153" s="86"/>
      <c r="K153" s="86"/>
      <c r="L153" s="63"/>
      <c r="M153" s="86"/>
      <c r="N153" s="66"/>
      <c r="O153" s="261"/>
      <c r="P153" s="695"/>
      <c r="Q153" s="542"/>
      <c r="R153" s="424"/>
      <c r="S153" s="86"/>
      <c r="T153" s="86"/>
      <c r="U153" s="86"/>
      <c r="V153" s="65"/>
      <c r="W153" s="66"/>
      <c r="X153" s="76"/>
      <c r="Y153" s="66"/>
      <c r="Z153" s="76"/>
      <c r="AA153" s="256"/>
      <c r="AB153" s="256"/>
      <c r="AC153" s="63"/>
      <c r="AD153" s="93"/>
      <c r="AE153" s="83"/>
      <c r="AF153" s="88"/>
      <c r="AG153" s="85"/>
      <c r="AH153" s="75"/>
      <c r="AI153" s="83"/>
      <c r="AJ153" s="195"/>
      <c r="AK153" s="65"/>
      <c r="AL153" s="66">
        <v>35.6</v>
      </c>
      <c r="AM153" s="72">
        <v>2162</v>
      </c>
      <c r="AN153" s="89">
        <f t="shared" si="148"/>
        <v>60.480000000000004</v>
      </c>
      <c r="AO153" s="488">
        <f t="shared" si="149"/>
        <v>23.363095238095237</v>
      </c>
      <c r="AP153" s="72">
        <v>1033</v>
      </c>
      <c r="AQ153" s="76">
        <f t="shared" si="134"/>
        <v>99980.053125000006</v>
      </c>
      <c r="AR153" s="76">
        <f t="shared" si="150"/>
        <v>784.50937499999418</v>
      </c>
      <c r="AS153" s="230">
        <f t="shared" si="151"/>
        <v>32.68789062499976</v>
      </c>
      <c r="AT153" s="72">
        <f>AR153/(AN153*(AVERAGE(D$106,D$99,D$127,D$133,D$150,D$151,D$100,D$116,D$123))*AVERAGE(E$106,E$99,E$127,E$133,E$150,E$151,E$100,E$116,E$123)*0.0001)</f>
        <v>518.77564823245996</v>
      </c>
      <c r="AU153" s="85"/>
      <c r="AV153" s="143">
        <f>AR153/(AN153*AVERAGE(D$106,D$99,D$127,D$133,D$150,D$151,D$100,D$116,D$123)*0.01)</f>
        <v>401.74634668681983</v>
      </c>
      <c r="AW153" s="511">
        <f t="shared" si="139"/>
        <v>0.5552083333333292</v>
      </c>
      <c r="AX153" s="66"/>
      <c r="AY153" s="66"/>
      <c r="AZ153" s="66"/>
      <c r="BA153" s="66"/>
      <c r="BB153" s="66"/>
      <c r="BC153" s="63"/>
      <c r="BD153" s="64"/>
      <c r="BE153" s="147"/>
      <c r="BF153" s="86"/>
      <c r="BG153" s="65"/>
      <c r="BH153" s="66"/>
      <c r="BI153" s="76"/>
      <c r="BJ153" s="66"/>
      <c r="BK153" s="76"/>
      <c r="BL153" s="86"/>
      <c r="BM153" s="86"/>
      <c r="BN153" s="63"/>
      <c r="BO153" s="93"/>
      <c r="BP153" s="83"/>
      <c r="BQ153" s="88"/>
      <c r="BR153" s="85"/>
      <c r="BS153" s="194"/>
      <c r="BT153" s="75"/>
      <c r="BU153" s="179"/>
      <c r="BV153" s="65"/>
      <c r="BW153" s="66">
        <v>51</v>
      </c>
      <c r="BX153" s="72">
        <v>1243</v>
      </c>
      <c r="BY153" s="443">
        <f t="shared" si="140"/>
        <v>20</v>
      </c>
      <c r="BZ153" s="443">
        <f t="shared" si="141"/>
        <v>37.299999999999997</v>
      </c>
      <c r="CA153" s="66">
        <v>589</v>
      </c>
      <c r="CB153" s="76">
        <f t="shared" si="142"/>
        <v>55456.815625000003</v>
      </c>
      <c r="CC153" s="289">
        <f t="shared" si="152"/>
        <v>674.609375</v>
      </c>
      <c r="CD153" s="289">
        <f t="shared" si="153"/>
        <v>28.108723958333332</v>
      </c>
      <c r="CE153" s="72">
        <f>CC153/(AVERAGE(BY152,BY153)*(AVERAGE(D$106,D$99,D$127,D$133,D$150,D$151,D$100,D$116,D$123))*AVERAGE(E$106,E$99,E$127,E$133,E$150,E$151,E$100,E$116,E$123)*0.0001)</f>
        <v>793.53608702151507</v>
      </c>
      <c r="CF153" s="161"/>
      <c r="CG153" s="72">
        <f>CC153/(AVERAGE(BY154,BY153)*AVERAGE((D$106,D$99,D$127,D$133,D$92,D$93,D$100,D$116,D$123))*0.01)</f>
        <v>778.56222467659416</v>
      </c>
      <c r="CH153" s="433">
        <f t="shared" si="143"/>
        <v>0.90430211126005366</v>
      </c>
      <c r="CI153" s="66"/>
      <c r="CJ153" s="66"/>
      <c r="CK153" s="66"/>
      <c r="CL153" s="66"/>
      <c r="CM153" s="66"/>
      <c r="CN153" s="111"/>
    </row>
    <row r="154" spans="1:92">
      <c r="A154" s="141">
        <f t="shared" si="146"/>
        <v>41309</v>
      </c>
      <c r="B154" s="307">
        <v>0.375</v>
      </c>
      <c r="C154" s="304">
        <f t="shared" si="116"/>
        <v>25</v>
      </c>
      <c r="D154" s="65"/>
      <c r="E154" s="66"/>
      <c r="F154" s="66"/>
      <c r="G154" s="66"/>
      <c r="H154" s="66"/>
      <c r="I154" s="66"/>
      <c r="J154" s="86"/>
      <c r="K154" s="86"/>
      <c r="L154" s="63"/>
      <c r="M154" s="86"/>
      <c r="N154" s="66"/>
      <c r="O154" s="261"/>
      <c r="P154" s="695"/>
      <c r="Q154" s="542"/>
      <c r="R154" s="424"/>
      <c r="S154" s="86"/>
      <c r="T154" s="86"/>
      <c r="U154" s="86"/>
      <c r="V154" s="65"/>
      <c r="W154" s="66"/>
      <c r="X154" s="66"/>
      <c r="Y154" s="66"/>
      <c r="Z154" s="66"/>
      <c r="AA154" s="86"/>
      <c r="AB154" s="86"/>
      <c r="AC154" s="63"/>
      <c r="AD154" s="87"/>
      <c r="AE154" s="87"/>
      <c r="AF154" s="87"/>
      <c r="AG154" s="66"/>
      <c r="AH154" s="66"/>
      <c r="AI154" s="64"/>
      <c r="AJ154" s="63"/>
      <c r="AK154" s="65"/>
      <c r="AL154" s="66">
        <v>35.6</v>
      </c>
      <c r="AM154" s="72">
        <v>2193</v>
      </c>
      <c r="AN154" s="89">
        <f t="shared" si="148"/>
        <v>64.281599999999997</v>
      </c>
      <c r="AO154" s="488">
        <f t="shared" si="149"/>
        <v>21.981406810035843</v>
      </c>
      <c r="AP154" s="72">
        <v>1045</v>
      </c>
      <c r="AQ154" s="199">
        <f t="shared" si="134"/>
        <v>100704.21562500001</v>
      </c>
      <c r="AR154" s="76">
        <f t="shared" si="150"/>
        <v>695.19600000000548</v>
      </c>
      <c r="AS154" s="230">
        <f t="shared" si="151"/>
        <v>28.966500000000234</v>
      </c>
      <c r="AT154" s="72">
        <f>AR154/(AN154*(AVERAGE(D$106,D$99,D$127,D$133,D$150,D$151,D$100,D$116,D$123))*AVERAGE(E$106,E$99,E$127,E$133,E$150,E$151,E$100,E$116,E$123)*0.0001)</f>
        <v>432.52758760821143</v>
      </c>
      <c r="AU154" s="66"/>
      <c r="AV154" s="143">
        <f>AR154/(AN154*AVERAGE(D$106,D$99,D$127,D$133,D$150,D$151,D$100,D$116,D$123)*0.01)</f>
        <v>334.95477043864406</v>
      </c>
      <c r="AW154" s="511">
        <f t="shared" si="139"/>
        <v>0.49200000000000388</v>
      </c>
      <c r="AX154" s="66"/>
      <c r="AY154" s="66"/>
      <c r="AZ154" s="66"/>
      <c r="BA154" s="66"/>
      <c r="BB154" s="66"/>
      <c r="BC154" s="63"/>
      <c r="BD154" s="64"/>
      <c r="BE154" s="147"/>
      <c r="BF154" s="86"/>
      <c r="BG154" s="65"/>
      <c r="BH154" s="66"/>
      <c r="BI154" s="66"/>
      <c r="BJ154" s="66"/>
      <c r="BK154" s="66"/>
      <c r="BL154" s="86"/>
      <c r="BM154" s="86"/>
      <c r="BN154" s="63"/>
      <c r="BO154" s="87"/>
      <c r="BP154" s="87"/>
      <c r="BQ154" s="87"/>
      <c r="BR154" s="66"/>
      <c r="BS154" s="64"/>
      <c r="BT154" s="66"/>
      <c r="BU154" s="67"/>
      <c r="BV154" s="65"/>
      <c r="BW154" s="66">
        <v>51</v>
      </c>
      <c r="BX154" s="72">
        <v>1261</v>
      </c>
      <c r="BY154" s="443">
        <f t="shared" si="140"/>
        <v>34.559999999999995</v>
      </c>
      <c r="BZ154" s="443">
        <f t="shared" si="141"/>
        <v>21.585648148148152</v>
      </c>
      <c r="CA154" s="76">
        <v>598</v>
      </c>
      <c r="CB154" s="76">
        <f t="shared" si="142"/>
        <v>56008.768750000003</v>
      </c>
      <c r="CC154" s="289">
        <f t="shared" si="152"/>
        <v>529.875</v>
      </c>
      <c r="CD154" s="289">
        <f t="shared" si="153"/>
        <v>22.078125</v>
      </c>
      <c r="CE154" s="72">
        <f>CC154/(BY154*(AVERAGE(D$106,D$99,D$127,D$133,D$150,D$151,D$100,D$116,D$123))*AVERAGE(E$106,E$99,E$127,E$133,E$150,E$151,E$100,E$116,E$123)*0.0001)</f>
        <v>613.18697633480713</v>
      </c>
      <c r="CF154" s="66"/>
      <c r="CG154" s="72">
        <f>CC154/(BY154*AVERAGE((D$106,D$99,D$127,D$133,D$150,D$151,D$100,D$116,D$123))*0.01)</f>
        <v>474.85965931087884</v>
      </c>
      <c r="CH154" s="433">
        <f t="shared" si="143"/>
        <v>0.71028820375335122</v>
      </c>
      <c r="CI154" s="66"/>
      <c r="CJ154" s="66"/>
      <c r="CK154" s="66"/>
      <c r="CL154" s="66"/>
      <c r="CM154" s="66"/>
      <c r="CN154" s="110"/>
    </row>
    <row r="155" spans="1:92" ht="15">
      <c r="A155" s="141">
        <f t="shared" si="146"/>
        <v>41310</v>
      </c>
      <c r="B155" s="307">
        <f>B154</f>
        <v>0.375</v>
      </c>
      <c r="C155" s="304">
        <f t="shared" si="116"/>
        <v>24</v>
      </c>
      <c r="D155" s="65"/>
      <c r="E155" s="66"/>
      <c r="F155" s="66"/>
      <c r="G155" s="66"/>
      <c r="H155" s="66"/>
      <c r="I155" s="66"/>
      <c r="J155" s="86"/>
      <c r="K155" s="86"/>
      <c r="L155" s="63"/>
      <c r="M155" s="86"/>
      <c r="N155" s="66"/>
      <c r="O155" s="261"/>
      <c r="P155" s="699"/>
      <c r="Q155" s="700"/>
      <c r="R155" s="701"/>
      <c r="S155" s="86"/>
      <c r="T155" s="86"/>
      <c r="U155" s="86"/>
      <c r="V155" s="65"/>
      <c r="W155" s="66"/>
      <c r="X155" s="66"/>
      <c r="Y155" s="66"/>
      <c r="Z155" s="66"/>
      <c r="AA155" s="86"/>
      <c r="AB155" s="86"/>
      <c r="AC155" s="63"/>
      <c r="AD155" s="87"/>
      <c r="AE155" s="87"/>
      <c r="AF155" s="87"/>
      <c r="AG155" s="66"/>
      <c r="AH155" s="66"/>
      <c r="AI155" s="64"/>
      <c r="AJ155" s="63"/>
      <c r="AK155" s="65"/>
      <c r="AL155" s="66">
        <v>35.6</v>
      </c>
      <c r="AM155" s="72">
        <v>2220</v>
      </c>
      <c r="AN155" s="89">
        <f t="shared" si="148"/>
        <v>58.320000000000007</v>
      </c>
      <c r="AO155" s="488">
        <f t="shared" si="149"/>
        <v>24.228395061728392</v>
      </c>
      <c r="AP155" s="72">
        <v>1057</v>
      </c>
      <c r="AQ155" s="199">
        <f t="shared" si="134"/>
        <v>101428.37812500002</v>
      </c>
      <c r="AR155" s="76">
        <f t="shared" si="150"/>
        <v>724.16250000000582</v>
      </c>
      <c r="AS155" s="230">
        <f t="shared" si="151"/>
        <v>30.173437500000244</v>
      </c>
      <c r="AT155" s="72">
        <f>AR155/(AN155*(AVERAGE(D$106,D$99,D$127,D$133,D$150,D$151,D$100,D$116,D$123))*AVERAGE(E$106,E$99,E$127,E$133,E$150,E$151,E$100,E$116,E$123)*0.0001)</f>
        <v>496.60574873535387</v>
      </c>
      <c r="AU155" s="66"/>
      <c r="AV155" s="143">
        <f>AR155/(AN155*AVERAGE(D$106,D$99,D$127,D$133,D$150,D$151,D$100,D$116,D$123)*0.01)</f>
        <v>384.57769939251722</v>
      </c>
      <c r="AW155" s="511">
        <f t="shared" si="139"/>
        <v>0.51250000000000417</v>
      </c>
      <c r="AX155" s="66"/>
      <c r="AY155" s="66"/>
      <c r="AZ155" s="66"/>
      <c r="BA155" s="66"/>
      <c r="BB155" s="66"/>
      <c r="BC155" s="63"/>
      <c r="BD155" s="64"/>
      <c r="BE155" s="147"/>
      <c r="BF155" s="86"/>
      <c r="BG155" s="65"/>
      <c r="BH155" s="66"/>
      <c r="BI155" s="66"/>
      <c r="BJ155" s="66"/>
      <c r="BK155" s="66"/>
      <c r="BL155" s="86"/>
      <c r="BM155" s="86"/>
      <c r="BN155" s="63"/>
      <c r="BO155" s="87"/>
      <c r="BP155" s="87"/>
      <c r="BQ155" s="87"/>
      <c r="BR155" s="66"/>
      <c r="BS155" s="64"/>
      <c r="BT155" s="66"/>
      <c r="BU155" s="67"/>
      <c r="BV155" s="65"/>
      <c r="BW155" s="66">
        <v>51</v>
      </c>
      <c r="BX155" s="72">
        <v>1277</v>
      </c>
      <c r="BY155" s="443">
        <f t="shared" si="140"/>
        <v>32</v>
      </c>
      <c r="BZ155" s="443">
        <f t="shared" si="141"/>
        <v>23.3125</v>
      </c>
      <c r="CA155" s="76">
        <v>606</v>
      </c>
      <c r="CB155" s="76">
        <f t="shared" si="142"/>
        <v>56499.393750000003</v>
      </c>
      <c r="CC155" s="289">
        <f t="shared" si="152"/>
        <v>490.625</v>
      </c>
      <c r="CD155" s="289">
        <f t="shared" si="153"/>
        <v>20.442708333333332</v>
      </c>
      <c r="CE155" s="72">
        <f>CC155/(BY155*(AVERAGE(D$106,D$99,D$127,D$133,D$92,D$93,D$100,D$116,D$123))*AVERAGE(E$106,E$99,E$127,E$133,E$92,E$93,E$100,E$116,E$123)*0.0001)</f>
        <v>625.35118447919206</v>
      </c>
      <c r="CF155" s="66"/>
      <c r="CG155" s="72">
        <f>CC155/(BY155*AVERAGE((D$106,D$99,D$127,D$133,D$150,D$151,D$100,D$116,D$123))*0.01)</f>
        <v>474.85965931087878</v>
      </c>
      <c r="CH155" s="433">
        <f t="shared" si="143"/>
        <v>0.6576742627345844</v>
      </c>
      <c r="CI155" s="66"/>
      <c r="CJ155" s="66"/>
      <c r="CK155" s="66"/>
      <c r="CL155" s="66"/>
      <c r="CM155" s="66"/>
      <c r="CN155" s="101"/>
    </row>
    <row r="156" spans="1:92" s="337" customFormat="1">
      <c r="A156" s="309">
        <f t="shared" si="146"/>
        <v>41311</v>
      </c>
      <c r="B156" s="310">
        <v>0.31944444444444448</v>
      </c>
      <c r="C156" s="311">
        <f t="shared" si="116"/>
        <v>22.666666666666664</v>
      </c>
      <c r="D156" s="467">
        <v>3.6</v>
      </c>
      <c r="E156" s="365">
        <v>76.89</v>
      </c>
      <c r="F156" s="313">
        <v>45200</v>
      </c>
      <c r="G156" s="365">
        <v>6.44</v>
      </c>
      <c r="H156" s="319"/>
      <c r="I156" s="313">
        <v>3471</v>
      </c>
      <c r="J156" s="317"/>
      <c r="K156" s="317"/>
      <c r="L156" s="320"/>
      <c r="M156" s="317"/>
      <c r="N156" s="319"/>
      <c r="O156" s="316"/>
      <c r="P156" s="702"/>
      <c r="Q156" s="542"/>
      <c r="R156" s="424"/>
      <c r="S156" s="317">
        <v>40</v>
      </c>
      <c r="T156" s="317">
        <v>0</v>
      </c>
      <c r="U156" s="317"/>
      <c r="V156" s="513">
        <v>2.0499999999999998</v>
      </c>
      <c r="W156" s="513">
        <v>66.87</v>
      </c>
      <c r="X156" s="348">
        <v>21400</v>
      </c>
      <c r="Y156" s="319"/>
      <c r="Z156" s="348">
        <v>1238</v>
      </c>
      <c r="AA156" s="317"/>
      <c r="AB156" s="317"/>
      <c r="AC156" s="320"/>
      <c r="AD156" s="391">
        <f>D150*(100-E150)/(100-W156)</f>
        <v>2.3501358285541811</v>
      </c>
      <c r="AE156" s="387">
        <f>D150-V156</f>
        <v>1.35</v>
      </c>
      <c r="AF156" s="393">
        <f>100*(AVERAGE(D101,D116,D123,D106,D99,D151,D92,D127,D133,D150)-V156)/AVERAGE(D101,D116,D123,D106,D99,D151,D92,D127,D133,D150)</f>
        <v>35.837245696400629</v>
      </c>
      <c r="AG156" s="393">
        <f>100*(1-((100-AVERAGE(E101,E116,E123,E106,E99,E93,E151,E127,E133,E150))/(100-W156)))</f>
        <v>30.956836703893753</v>
      </c>
      <c r="AH156" s="387">
        <f>E150-W156</f>
        <v>10.22999999999999</v>
      </c>
      <c r="AI156" s="393">
        <f>100*(1-((V156*W156)/(AVERAGE(D101,D116,D123,D106,D99,D151,D92,D127,D133,D150)*AVERAGE(E101,E116,E123,E106,E99,E93,E151,E127,E133,E150))))</f>
        <v>44.369429501313576</v>
      </c>
      <c r="AJ156" s="389">
        <f>100*100*((AVERAGE(E101,E116,E123,E106,E99,E93,E151,E127,E133,E150)-W156)/((100-W156)*AVERAGE(E101,E116,E123,E106,E99,E93,E151,E127,E133,E150)))</f>
        <v>40.138003661403104</v>
      </c>
      <c r="AK156" s="318">
        <v>7.14</v>
      </c>
      <c r="AL156" s="470">
        <v>33.700000000000003</v>
      </c>
      <c r="AM156" s="313">
        <v>2246</v>
      </c>
      <c r="AN156" s="327">
        <f t="shared" si="148"/>
        <v>59.463529411764718</v>
      </c>
      <c r="AO156" s="489">
        <f t="shared" si="149"/>
        <v>23.762464387464384</v>
      </c>
      <c r="AP156" s="313">
        <v>1069</v>
      </c>
      <c r="AQ156" s="493">
        <f t="shared" si="134"/>
        <v>102152.54062500001</v>
      </c>
      <c r="AR156" s="348">
        <f t="shared" si="150"/>
        <v>766.76029411763795</v>
      </c>
      <c r="AS156" s="512">
        <f t="shared" si="151"/>
        <v>31.948345588234911</v>
      </c>
      <c r="AT156" s="72">
        <f>AR156/(AN156*(AVERAGE(D$106,D$99,D$127,D$133,D$150,D$151,D$100,D$116,D$123))*AVERAGE(E$106,E$99,E$127,E$133,E$150,E$151,E$100,E$116,E$123)*0.0001)</f>
        <v>515.70596984054953</v>
      </c>
      <c r="AU156" s="313">
        <f>(AQ156-AQ127)/(AVERAGE(AN127:AN156)*((AVERAGE(D135,D133,D127,D123,D150,D116,D151)*AVERAGE(E135,E133,E127,E123,E150,E116,E151))-(V156*W156))*0.0001*(SUM(C127:C156)/24))</f>
        <v>695.56753945902665</v>
      </c>
      <c r="AV156" s="143">
        <f>AR156/(AN156*AVERAGE(D$106,D$99,D$127,D$133,D$150,D$151,D$100,D$116,D$123)*0.01)</f>
        <v>399.36914936914451</v>
      </c>
      <c r="AW156" s="511">
        <f t="shared" si="139"/>
        <v>0.54264705882352293</v>
      </c>
      <c r="AX156" s="319">
        <v>70.3</v>
      </c>
      <c r="AY156" s="319">
        <v>29.7</v>
      </c>
      <c r="AZ156" s="319">
        <v>0</v>
      </c>
      <c r="BA156" s="319">
        <v>121</v>
      </c>
      <c r="BB156" s="319">
        <v>290</v>
      </c>
      <c r="BC156" s="320" t="s">
        <v>139</v>
      </c>
      <c r="BD156" s="368"/>
      <c r="BE156" s="330"/>
      <c r="BF156" s="317"/>
      <c r="BG156" s="339">
        <v>2.13</v>
      </c>
      <c r="BH156" s="452">
        <v>66.599999999999994</v>
      </c>
      <c r="BI156" s="348">
        <v>26400</v>
      </c>
      <c r="BJ156" s="319"/>
      <c r="BK156" s="348">
        <v>2499</v>
      </c>
      <c r="BL156" s="317"/>
      <c r="BM156" s="317"/>
      <c r="BN156" s="320"/>
      <c r="BO156" s="376">
        <f>D150*(100-E150)/(100-BH156)</f>
        <v>2.3311377245508984</v>
      </c>
      <c r="BP156" s="372">
        <f>D150-BG156</f>
        <v>1.27</v>
      </c>
      <c r="BQ156" s="374">
        <f>100*(AVERAGE(D101,D116,D123,D106,D99,D93,D151,D127,D133,D150)-BG156)/AVERAGE(D101,D116,D123,D106,D99,D93,D151,D127,D133,D150)</f>
        <v>33.270676691729321</v>
      </c>
      <c r="BR156" s="367">
        <f>100*(1-((100-AVERAGE(E101,E116,E123,E106,E99,E93,E151,E127,E133,E150))/(100-BH156)))</f>
        <v>31.514970059880266</v>
      </c>
      <c r="BS156" s="375">
        <f>E150-BH156</f>
        <v>10.5</v>
      </c>
      <c r="BT156" s="312">
        <f>100*(1-((BG156*BH156)/(AVERAGE(D101,D116,D123,D106,D99,D93,D151,D127,D133,D150)*AVERAGE(E101,E116,E123,E106,E99,E93,E151,E127,E133,E150))))</f>
        <v>42.37775935053255</v>
      </c>
      <c r="BU156" s="412">
        <f>100*100*((AVERAGE(E101,E116,E123,E106,E99,E93,E151,E127,E133,E150)-BH156)/((100-BH156)*AVERAGE(E101,E116,E123,E106,E99,E93,E151,E127,E133,E150)))</f>
        <v>40.861667997666501</v>
      </c>
      <c r="BV156" s="318">
        <v>7.34</v>
      </c>
      <c r="BW156" s="365">
        <v>47.4</v>
      </c>
      <c r="BX156" s="313">
        <v>1285</v>
      </c>
      <c r="BY156" s="462">
        <f t="shared" si="140"/>
        <v>16.941176470588239</v>
      </c>
      <c r="BZ156" s="462">
        <f t="shared" si="141"/>
        <v>44.034722222222214</v>
      </c>
      <c r="CA156" s="348">
        <v>613</v>
      </c>
      <c r="CB156" s="348">
        <f t="shared" si="142"/>
        <v>56928.690625000003</v>
      </c>
      <c r="CC156" s="334">
        <f t="shared" si="152"/>
        <v>454.54963235294122</v>
      </c>
      <c r="CD156" s="334">
        <f t="shared" si="153"/>
        <v>18.939568014705884</v>
      </c>
      <c r="CE156" s="72">
        <f>CC156/(AVERAGE(BY156,BY155)*(AVERAGE(D$106,D$99,D$127,D$133,D$150,D$151,D$100,D$116,D$123))*AVERAGE(E$106,E$99,E$127,E$133,E$150,E$151,E$100,E$116,E$123)*0.0001)</f>
        <v>742.8996059440932</v>
      </c>
      <c r="CF156" s="313">
        <f>(CB156-CB127)/(AVERAGE(BY127:BY156)*((AVERAGE(D135,D127,D133,D151,D150)*AVERAGE(E135,E127,E150,E133,E151))-(BG156*BH156))*0.0001*(SUM(C127:C156)/24))</f>
        <v>1097.2860316777442</v>
      </c>
      <c r="CG156" s="72">
        <f>CC156/(BY156*AVERAGE((D$106,D$99,D$127,D$133,D$150,D$151,D$100,D$116,D$123))*0.01)</f>
        <v>831.00440379403767</v>
      </c>
      <c r="CH156" s="433">
        <f t="shared" si="143"/>
        <v>0.6093158610629239</v>
      </c>
      <c r="CI156" s="319">
        <v>68.8</v>
      </c>
      <c r="CJ156" s="319">
        <v>31.1</v>
      </c>
      <c r="CK156" s="319">
        <v>0</v>
      </c>
      <c r="CL156" s="319">
        <v>22</v>
      </c>
      <c r="CM156" s="319">
        <v>280</v>
      </c>
      <c r="CN156" s="320" t="s">
        <v>139</v>
      </c>
    </row>
    <row r="157" spans="1:92">
      <c r="A157" s="141">
        <f t="shared" si="146"/>
        <v>41312</v>
      </c>
      <c r="B157" s="307">
        <v>0.375</v>
      </c>
      <c r="C157" s="304">
        <f t="shared" si="116"/>
        <v>25.333333333333336</v>
      </c>
      <c r="D157" s="65"/>
      <c r="E157" s="66"/>
      <c r="F157" s="66"/>
      <c r="G157" s="66"/>
      <c r="H157" s="66"/>
      <c r="I157" s="66"/>
      <c r="J157" s="86"/>
      <c r="K157" s="86"/>
      <c r="L157" s="63"/>
      <c r="M157" s="86"/>
      <c r="N157" s="66"/>
      <c r="O157" s="261"/>
      <c r="P157" s="695"/>
      <c r="Q157" s="542"/>
      <c r="R157" s="424"/>
      <c r="S157" s="86"/>
      <c r="T157" s="86"/>
      <c r="U157" s="86"/>
      <c r="V157" s="65"/>
      <c r="W157" s="66"/>
      <c r="X157" s="66"/>
      <c r="Y157" s="66"/>
      <c r="Z157" s="66"/>
      <c r="AA157" s="86"/>
      <c r="AB157" s="86"/>
      <c r="AC157" s="63"/>
      <c r="AD157" s="87"/>
      <c r="AE157" s="87"/>
      <c r="AF157" s="87"/>
      <c r="AG157" s="66"/>
      <c r="AH157" s="66"/>
      <c r="AI157" s="64"/>
      <c r="AJ157" s="63"/>
      <c r="AK157" s="65"/>
      <c r="AL157" s="66"/>
      <c r="AM157" s="72">
        <v>2277</v>
      </c>
      <c r="AN157" s="89">
        <f t="shared" si="148"/>
        <v>63.435789473684217</v>
      </c>
      <c r="AO157" s="488">
        <f t="shared" si="149"/>
        <v>22.274492234169653</v>
      </c>
      <c r="AP157" s="72">
        <v>1084</v>
      </c>
      <c r="AQ157" s="199">
        <f t="shared" si="134"/>
        <v>103057.74375000001</v>
      </c>
      <c r="AR157" s="76">
        <f t="shared" si="150"/>
        <v>857.56085526315792</v>
      </c>
      <c r="AS157" s="230">
        <f t="shared" si="151"/>
        <v>35.731702302631575</v>
      </c>
      <c r="AT157" s="72">
        <f t="shared" ref="AT157:AT162" si="154">AR157/(AN157*(AVERAGE(D$106,D$156,D$127,D$133,D$150,D$151,D$100,D$116,D$123))*AVERAGE(E$106,E$156,E$127,E$133,E$150,E$151,E$100,E$116,E$123)*0.0001)</f>
        <v>537.3687512563373</v>
      </c>
      <c r="AU157" s="66"/>
      <c r="AV157" s="143">
        <f>AR157/(AN157*AVERAGE(D$106,D$156,D$127,D$133,D$150,D$151,D$100,D$116,D$123)*0.01)</f>
        <v>417.07875628760638</v>
      </c>
      <c r="AW157" s="511">
        <f t="shared" si="139"/>
        <v>0.60690789473684215</v>
      </c>
      <c r="AX157" s="66"/>
      <c r="AY157" s="66"/>
      <c r="AZ157" s="66"/>
      <c r="BA157" s="66"/>
      <c r="BB157" s="66"/>
      <c r="BC157" s="63"/>
      <c r="BD157" s="64"/>
      <c r="BE157" s="147"/>
      <c r="BF157" s="86"/>
      <c r="BG157" s="65"/>
      <c r="BH157" s="66"/>
      <c r="BI157" s="66"/>
      <c r="BJ157" s="66"/>
      <c r="BK157" s="348"/>
      <c r="BL157" s="86"/>
      <c r="BM157" s="86"/>
      <c r="BN157" s="63"/>
      <c r="BO157" s="87"/>
      <c r="BP157" s="87"/>
      <c r="BQ157" s="87"/>
      <c r="BR157" s="66"/>
      <c r="BS157" s="64"/>
      <c r="BT157" s="66"/>
      <c r="BU157" s="67"/>
      <c r="BV157" s="65"/>
      <c r="BW157" s="66">
        <v>51</v>
      </c>
      <c r="BX157" s="72">
        <v>1316</v>
      </c>
      <c r="BY157" s="443">
        <f t="shared" si="140"/>
        <v>58.736842105263158</v>
      </c>
      <c r="BZ157" s="443">
        <f t="shared" si="141"/>
        <v>12.700716845878135</v>
      </c>
      <c r="CA157" s="76">
        <v>623</v>
      </c>
      <c r="CB157" s="199">
        <f t="shared" si="142"/>
        <v>57541.971875000003</v>
      </c>
      <c r="CC157" s="289">
        <f t="shared" si="152"/>
        <v>581.00328947368416</v>
      </c>
      <c r="CD157" s="289">
        <f t="shared" si="153"/>
        <v>24.208470394736839</v>
      </c>
      <c r="CE157" s="72">
        <f>CC157/(AVERAGE(BY157,BY156)*(AVERAGE(D$106,D$156,D$127,D$133,D$150,D$151,D$100,D$116,D$123))*AVERAGE(E$106,E$156,E$127,E$133,E$150,E$151,E$100,E$116,E$123)*0.0001)</f>
        <v>610.35238028396816</v>
      </c>
      <c r="CF157" s="66"/>
      <c r="CG157" s="72">
        <f>CC157/(AVERAGE(BY157,BY156)*AVERAGE((D$106,D$156,D$127,D$133,D$150,D$151,D$100,D$116,D$123))*0.01)</f>
        <v>473.72499995740191</v>
      </c>
      <c r="CH157" s="433">
        <f t="shared" si="143"/>
        <v>0.77882478481727102</v>
      </c>
      <c r="CI157" s="66"/>
      <c r="CJ157" s="66"/>
      <c r="CK157" s="66"/>
      <c r="CL157" s="66"/>
      <c r="CM157" s="66"/>
      <c r="CN157" s="109"/>
    </row>
    <row r="158" spans="1:92" ht="15">
      <c r="A158" s="141">
        <f t="shared" si="146"/>
        <v>41313</v>
      </c>
      <c r="B158" s="307">
        <v>0.35416666666666669</v>
      </c>
      <c r="C158" s="304">
        <f t="shared" si="116"/>
        <v>23.5</v>
      </c>
      <c r="D158" s="65"/>
      <c r="E158" s="66"/>
      <c r="F158" s="66"/>
      <c r="G158" s="66"/>
      <c r="H158" s="66"/>
      <c r="I158" s="66"/>
      <c r="J158" s="86"/>
      <c r="K158" s="86"/>
      <c r="L158" s="63"/>
      <c r="M158" s="86"/>
      <c r="N158" s="66"/>
      <c r="O158" s="261"/>
      <c r="P158" s="699"/>
      <c r="Q158" s="700"/>
      <c r="R158" s="701"/>
      <c r="S158" s="86"/>
      <c r="T158" s="86"/>
      <c r="U158" s="86"/>
      <c r="V158" s="65"/>
      <c r="W158" s="66"/>
      <c r="X158" s="66"/>
      <c r="Y158" s="66"/>
      <c r="Z158" s="66"/>
      <c r="AA158" s="86"/>
      <c r="AB158" s="86"/>
      <c r="AC158" s="63"/>
      <c r="AD158" s="87"/>
      <c r="AE158" s="87"/>
      <c r="AF158" s="87"/>
      <c r="AG158" s="66"/>
      <c r="AH158" s="66"/>
      <c r="AI158" s="64"/>
      <c r="AJ158" s="63"/>
      <c r="AK158" s="65"/>
      <c r="AL158" s="76"/>
      <c r="AM158" s="72">
        <v>2303</v>
      </c>
      <c r="AN158" s="89">
        <f t="shared" si="148"/>
        <v>57.354893617021283</v>
      </c>
      <c r="AO158" s="488">
        <f t="shared" si="149"/>
        <v>24.6360844017094</v>
      </c>
      <c r="AP158" s="72">
        <v>1098</v>
      </c>
      <c r="AQ158" s="199">
        <f t="shared" si="134"/>
        <v>103902.6</v>
      </c>
      <c r="AR158" s="76">
        <f t="shared" si="150"/>
        <v>862.83191489361411</v>
      </c>
      <c r="AS158" s="230">
        <f t="shared" si="151"/>
        <v>35.951329787233917</v>
      </c>
      <c r="AT158" s="72">
        <f t="shared" si="154"/>
        <v>597.99496934679394</v>
      </c>
      <c r="AU158" s="66"/>
      <c r="AV158" s="143">
        <f>AR158/(AN158*AVERAGE(D$106,D$156,D$127,D$133,D$150,D$151,D$100,D$116,D$123)*0.01)</f>
        <v>464.13379545851416</v>
      </c>
      <c r="AW158" s="511">
        <f t="shared" si="139"/>
        <v>0.61063829787233836</v>
      </c>
      <c r="AX158" s="66"/>
      <c r="AY158" s="66"/>
      <c r="AZ158" s="66"/>
      <c r="BA158" s="66"/>
      <c r="BB158" s="66"/>
      <c r="BC158" s="63"/>
      <c r="BD158" s="64"/>
      <c r="BE158" s="147"/>
      <c r="BF158" s="86"/>
      <c r="BG158" s="65"/>
      <c r="BH158" s="66"/>
      <c r="BI158" s="66"/>
      <c r="BJ158" s="66"/>
      <c r="BK158" s="66"/>
      <c r="BL158" s="86"/>
      <c r="BM158" s="86"/>
      <c r="BN158" s="63"/>
      <c r="BO158" s="87"/>
      <c r="BP158" s="87"/>
      <c r="BQ158" s="87"/>
      <c r="BR158" s="66"/>
      <c r="BS158" s="64"/>
      <c r="BT158" s="66"/>
      <c r="BU158" s="67"/>
      <c r="BV158" s="65"/>
      <c r="BW158" s="66">
        <v>51</v>
      </c>
      <c r="BX158" s="72">
        <v>1332</v>
      </c>
      <c r="BY158" s="443">
        <f t="shared" si="140"/>
        <v>32.680851063829792</v>
      </c>
      <c r="BZ158" s="443">
        <f t="shared" si="141"/>
        <v>22.826822916666664</v>
      </c>
      <c r="CA158" s="76">
        <v>631</v>
      </c>
      <c r="CB158" s="199">
        <f t="shared" si="142"/>
        <v>58032.596875000003</v>
      </c>
      <c r="CC158" s="289">
        <f t="shared" si="152"/>
        <v>501.06382978723406</v>
      </c>
      <c r="CD158" s="289">
        <f t="shared" si="153"/>
        <v>20.877659574468087</v>
      </c>
      <c r="CE158" s="72">
        <f>CC158/(BY158*(AVERAGE(D$106,D$156,D$127,D$133,D$150,D$151,D$100,D$116,D$123))*AVERAGE(E$106,E$156,E$127,E$133,E$150,E$151,E$100,E$116,E$123)*0.0001)</f>
        <v>609.45480325413871</v>
      </c>
      <c r="CF158" s="66"/>
      <c r="CG158" s="72">
        <f>CC158/(BY158*AVERAGE((D$106,D$156,D$127,D$133,D$150,D$151,D$100,D$116,D$123))*0.01)</f>
        <v>473.02834554569989</v>
      </c>
      <c r="CH158" s="433">
        <f t="shared" si="143"/>
        <v>0.67166733215446928</v>
      </c>
      <c r="CI158" s="66"/>
      <c r="CJ158" s="66"/>
      <c r="CK158" s="66"/>
      <c r="CL158" s="66"/>
      <c r="CM158" s="66"/>
      <c r="CN158" s="110"/>
    </row>
    <row r="159" spans="1:92" ht="15">
      <c r="A159" s="141">
        <f t="shared" si="146"/>
        <v>41314</v>
      </c>
      <c r="B159" s="307">
        <v>0.35416666666666669</v>
      </c>
      <c r="C159" s="304">
        <f t="shared" si="116"/>
        <v>24</v>
      </c>
      <c r="D159" s="65"/>
      <c r="E159" s="66"/>
      <c r="F159" s="66"/>
      <c r="G159" s="66"/>
      <c r="H159" s="66"/>
      <c r="I159" s="66"/>
      <c r="J159" s="86"/>
      <c r="K159" s="86"/>
      <c r="L159" s="63"/>
      <c r="M159" s="86"/>
      <c r="N159" s="66"/>
      <c r="O159" s="261"/>
      <c r="P159" s="699"/>
      <c r="Q159" s="700"/>
      <c r="R159" s="701"/>
      <c r="S159" s="86"/>
      <c r="T159" s="86"/>
      <c r="U159" s="86"/>
      <c r="V159" s="65"/>
      <c r="W159" s="66"/>
      <c r="X159" s="66"/>
      <c r="Y159" s="66"/>
      <c r="Z159" s="66"/>
      <c r="AA159" s="86"/>
      <c r="AB159" s="86"/>
      <c r="AC159" s="63"/>
      <c r="AD159" s="87"/>
      <c r="AE159" s="87"/>
      <c r="AF159" s="87"/>
      <c r="AG159" s="66"/>
      <c r="AH159" s="66"/>
      <c r="AI159" s="64"/>
      <c r="AJ159" s="63"/>
      <c r="AK159" s="65"/>
      <c r="AL159" s="76"/>
      <c r="AM159" s="72">
        <v>2331</v>
      </c>
      <c r="AN159" s="89">
        <f t="shared" si="148"/>
        <v>60.480000000000004</v>
      </c>
      <c r="AO159" s="488">
        <f t="shared" si="149"/>
        <v>23.363095238095237</v>
      </c>
      <c r="AP159" s="72">
        <v>1114</v>
      </c>
      <c r="AQ159" s="199">
        <f t="shared" si="134"/>
        <v>104868.15000000001</v>
      </c>
      <c r="AR159" s="76">
        <f t="shared" si="150"/>
        <v>965.55000000000291</v>
      </c>
      <c r="AS159" s="230">
        <f t="shared" si="151"/>
        <v>40.231250000000124</v>
      </c>
      <c r="AT159" s="72">
        <f t="shared" si="154"/>
        <v>634.60690624558129</v>
      </c>
      <c r="AU159" s="66"/>
      <c r="AV159" s="143">
        <f>AR159/(AN159*AVERAGE(D$106,D$156,D$127,D$133,D$150,D$151,D$100,D$116,D$123)*0.01)</f>
        <v>492.55015028250801</v>
      </c>
      <c r="AW159" s="511">
        <f t="shared" si="139"/>
        <v>0.68333333333333535</v>
      </c>
      <c r="AX159" s="66"/>
      <c r="AY159" s="66"/>
      <c r="AZ159" s="66"/>
      <c r="BA159" s="66"/>
      <c r="BB159" s="66"/>
      <c r="BC159" s="63"/>
      <c r="BD159" s="64"/>
      <c r="BE159" s="147"/>
      <c r="BF159" s="86"/>
      <c r="BG159" s="65"/>
      <c r="BH159" s="66"/>
      <c r="BI159" s="66"/>
      <c r="BJ159" s="66"/>
      <c r="BK159" s="66"/>
      <c r="BL159" s="86"/>
      <c r="BM159" s="86"/>
      <c r="BN159" s="63"/>
      <c r="BO159" s="87"/>
      <c r="BP159" s="87"/>
      <c r="BQ159" s="87"/>
      <c r="BR159" s="66"/>
      <c r="BS159" s="64"/>
      <c r="BT159" s="66"/>
      <c r="BU159" s="67"/>
      <c r="BV159" s="65"/>
      <c r="BW159" s="66">
        <v>51</v>
      </c>
      <c r="BX159" s="72">
        <v>1347</v>
      </c>
      <c r="BY159" s="443">
        <f t="shared" si="140"/>
        <v>30</v>
      </c>
      <c r="BZ159" s="443">
        <f t="shared" si="141"/>
        <v>24.866666666666667</v>
      </c>
      <c r="CA159" s="76">
        <v>639</v>
      </c>
      <c r="CB159" s="199">
        <f t="shared" si="142"/>
        <v>58523.221875000003</v>
      </c>
      <c r="CC159" s="289">
        <f t="shared" si="152"/>
        <v>490.625</v>
      </c>
      <c r="CD159" s="289">
        <f t="shared" si="153"/>
        <v>20.442708333333332</v>
      </c>
      <c r="CE159" s="72">
        <f>CC159/(BY159*(AVERAGE(D$106,D$156,D$127,D$133,D$150,D$151,D$100,D$116,D$123))*AVERAGE(E$106,E$156,E$127,E$133,E$150,E$151,E$100,E$116,E$123)*0.0001)</f>
        <v>650.08512347108137</v>
      </c>
      <c r="CF159" s="66"/>
      <c r="CG159" s="72">
        <f>CC159/(BY159*AVERAGE((D$106,D$156,D$127,D$133,D$150,D$151,D$100,D$116,D$123))*0.01)</f>
        <v>504.56356858207988</v>
      </c>
      <c r="CH159" s="433">
        <f t="shared" si="143"/>
        <v>0.6576742627345844</v>
      </c>
      <c r="CI159" s="66"/>
      <c r="CJ159" s="66"/>
      <c r="CK159" s="66"/>
      <c r="CL159" s="66"/>
      <c r="CM159" s="66"/>
      <c r="CN159" s="110"/>
    </row>
    <row r="160" spans="1:92" ht="15">
      <c r="A160" s="141">
        <f t="shared" si="146"/>
        <v>41315</v>
      </c>
      <c r="B160" s="307">
        <v>0.5</v>
      </c>
      <c r="C160" s="304">
        <f t="shared" si="116"/>
        <v>27.5</v>
      </c>
      <c r="D160" s="65"/>
      <c r="E160" s="66"/>
      <c r="F160" s="66"/>
      <c r="G160" s="66"/>
      <c r="H160" s="66"/>
      <c r="I160" s="66"/>
      <c r="J160" s="86"/>
      <c r="K160" s="86"/>
      <c r="L160" s="63"/>
      <c r="M160" s="86"/>
      <c r="N160" s="66"/>
      <c r="O160" s="261"/>
      <c r="P160" s="699"/>
      <c r="Q160" s="700"/>
      <c r="R160" s="701"/>
      <c r="S160" s="86"/>
      <c r="T160" s="86"/>
      <c r="U160" s="86"/>
      <c r="V160" s="65"/>
      <c r="W160" s="66"/>
      <c r="X160" s="66"/>
      <c r="Y160" s="66"/>
      <c r="Z160" s="66"/>
      <c r="AA160" s="86"/>
      <c r="AB160" s="86"/>
      <c r="AC160" s="63"/>
      <c r="AD160" s="87"/>
      <c r="AE160" s="87"/>
      <c r="AF160" s="87"/>
      <c r="AG160" s="66"/>
      <c r="AH160" s="66"/>
      <c r="AI160" s="64"/>
      <c r="AJ160" s="63"/>
      <c r="AK160" s="65"/>
      <c r="AL160" s="66"/>
      <c r="AM160" s="72">
        <v>2365</v>
      </c>
      <c r="AN160" s="89">
        <f t="shared" si="148"/>
        <v>64.093090909090918</v>
      </c>
      <c r="AO160" s="488">
        <f t="shared" si="149"/>
        <v>22.046058006535944</v>
      </c>
      <c r="AP160" s="72">
        <v>1134</v>
      </c>
      <c r="AQ160" s="199">
        <f t="shared" si="134"/>
        <v>106075.08750000001</v>
      </c>
      <c r="AR160" s="76">
        <f t="shared" si="150"/>
        <v>1053.3272727272729</v>
      </c>
      <c r="AS160" s="230">
        <f t="shared" si="151"/>
        <v>43.888636363636365</v>
      </c>
      <c r="AT160" s="72">
        <f t="shared" si="154"/>
        <v>653.27181525280241</v>
      </c>
      <c r="AU160" s="66"/>
      <c r="AV160" s="143">
        <f>AR160/(AN160*AVERAGE(D$106,D$156,D$127,D$133,D$150,D$151,D$100,D$116,D$123)*0.01)</f>
        <v>507.03691940846261</v>
      </c>
      <c r="AW160" s="511">
        <f t="shared" si="139"/>
        <v>0.74545454545454559</v>
      </c>
      <c r="AX160" s="66"/>
      <c r="AY160" s="66"/>
      <c r="AZ160" s="66"/>
      <c r="BA160" s="66"/>
      <c r="BB160" s="66"/>
      <c r="BC160" s="63"/>
      <c r="BD160" s="64"/>
      <c r="BE160" s="147"/>
      <c r="BF160" s="86"/>
      <c r="BG160" s="65"/>
      <c r="BH160" s="66"/>
      <c r="BI160" s="66"/>
      <c r="BJ160" s="66"/>
      <c r="BK160" s="66"/>
      <c r="BL160" s="86"/>
      <c r="BM160" s="86"/>
      <c r="BN160" s="63"/>
      <c r="BO160" s="87"/>
      <c r="BP160" s="87"/>
      <c r="BQ160" s="87"/>
      <c r="BR160" s="66"/>
      <c r="BS160" s="64"/>
      <c r="BT160" s="66"/>
      <c r="BU160" s="67"/>
      <c r="BV160" s="65"/>
      <c r="BW160" s="66">
        <v>51</v>
      </c>
      <c r="BX160" s="72">
        <v>1364</v>
      </c>
      <c r="BY160" s="443">
        <f t="shared" si="140"/>
        <v>29.672727272727276</v>
      </c>
      <c r="BZ160" s="443">
        <f t="shared" si="141"/>
        <v>25.140931372549016</v>
      </c>
      <c r="CA160" s="76">
        <v>651</v>
      </c>
      <c r="CB160" s="199">
        <f t="shared" si="142"/>
        <v>59259.159375000003</v>
      </c>
      <c r="CC160" s="289">
        <f t="shared" si="152"/>
        <v>642.27272727272737</v>
      </c>
      <c r="CD160" s="289">
        <f t="shared" si="153"/>
        <v>26.761363636363637</v>
      </c>
      <c r="CE160" s="72">
        <f>CC160/(BY160*(AVERAGE(D$106,D$156,D$127,D$133,D$150,D$151,D$100,D$116,D$123))*AVERAGE(E$106,E$156,E$127,E$133,E$150,E$151,E$100,E$116,E$123)*0.0001)</f>
        <v>860.40678106466657</v>
      </c>
      <c r="CF160" s="66"/>
      <c r="CG160" s="72">
        <f>CC160/(BY160*AVERAGE((D$106,D$156,D$127,D$133,D$150,D$151,D$100,D$116,D$123))*0.01)</f>
        <v>667.80472312334109</v>
      </c>
      <c r="CH160" s="433">
        <f t="shared" si="143"/>
        <v>0.86095539848891067</v>
      </c>
      <c r="CI160" s="66"/>
      <c r="CJ160" s="66"/>
      <c r="CK160" s="66"/>
      <c r="CL160" s="66"/>
      <c r="CM160" s="66"/>
      <c r="CN160" s="110"/>
    </row>
    <row r="161" spans="1:111">
      <c r="A161" s="141">
        <f t="shared" si="146"/>
        <v>41316</v>
      </c>
      <c r="B161" s="307">
        <v>0.45833333333333331</v>
      </c>
      <c r="C161" s="304">
        <f t="shared" si="116"/>
        <v>23</v>
      </c>
      <c r="D161" s="65"/>
      <c r="E161" s="66"/>
      <c r="F161" s="66"/>
      <c r="G161" s="66"/>
      <c r="H161" s="66"/>
      <c r="I161" s="66"/>
      <c r="J161" s="86"/>
      <c r="K161" s="86"/>
      <c r="L161" s="63"/>
      <c r="M161" s="86"/>
      <c r="N161" s="66"/>
      <c r="O161" s="261"/>
      <c r="P161" s="695"/>
      <c r="Q161" s="542"/>
      <c r="R161" s="424"/>
      <c r="S161" s="86"/>
      <c r="T161" s="86"/>
      <c r="U161" s="86"/>
      <c r="V161" s="65"/>
      <c r="W161" s="66"/>
      <c r="X161" s="66"/>
      <c r="Y161" s="66"/>
      <c r="Z161" s="66"/>
      <c r="AA161" s="86"/>
      <c r="AB161" s="86"/>
      <c r="AC161" s="63"/>
      <c r="AD161" s="87"/>
      <c r="AE161" s="87"/>
      <c r="AF161" s="87"/>
      <c r="AG161" s="66"/>
      <c r="AH161" s="66"/>
      <c r="AI161" s="64"/>
      <c r="AJ161" s="63"/>
      <c r="AK161" s="65"/>
      <c r="AL161" s="66">
        <v>35.6</v>
      </c>
      <c r="AM161" s="72">
        <v>2382</v>
      </c>
      <c r="AN161" s="89">
        <f t="shared" si="148"/>
        <v>38.31652173913043</v>
      </c>
      <c r="AO161" s="488">
        <f t="shared" si="149"/>
        <v>36.877042483660134</v>
      </c>
      <c r="AP161" s="72">
        <v>1150</v>
      </c>
      <c r="AQ161" s="199">
        <f t="shared" si="134"/>
        <v>107040.63750000001</v>
      </c>
      <c r="AR161" s="76">
        <f t="shared" si="150"/>
        <v>1007.5304347826117</v>
      </c>
      <c r="AS161" s="230">
        <f t="shared" si="151"/>
        <v>41.980434782608825</v>
      </c>
      <c r="AT161" s="72">
        <f t="shared" si="154"/>
        <v>1045.234904404487</v>
      </c>
      <c r="AU161" s="66"/>
      <c r="AV161" s="143">
        <f>AR161/(AN161*AVERAGE(D$106,D$156,D$127,D$133,D$150,D$151,D$100,D$116,D$123)*0.01)</f>
        <v>811.25907105354281</v>
      </c>
      <c r="AW161" s="511">
        <f t="shared" si="139"/>
        <v>0.71304347826087167</v>
      </c>
      <c r="AX161" s="66"/>
      <c r="AY161" s="66"/>
      <c r="AZ161" s="66"/>
      <c r="BA161" s="66"/>
      <c r="BB161" s="66"/>
      <c r="BC161" s="63"/>
      <c r="BD161" s="64"/>
      <c r="BE161" s="147"/>
      <c r="BF161" s="86"/>
      <c r="BG161" s="65"/>
      <c r="BH161" s="66"/>
      <c r="BI161" s="66"/>
      <c r="BJ161" s="66"/>
      <c r="BK161" s="66"/>
      <c r="BL161" s="86"/>
      <c r="BM161" s="86"/>
      <c r="BN161" s="63"/>
      <c r="BO161" s="87"/>
      <c r="BP161" s="87"/>
      <c r="BQ161" s="87"/>
      <c r="BR161" s="66"/>
      <c r="BS161" s="64"/>
      <c r="BT161" s="66"/>
      <c r="BU161" s="67"/>
      <c r="BV161" s="65"/>
      <c r="BW161" s="66">
        <v>51</v>
      </c>
      <c r="BX161" s="72">
        <v>1380</v>
      </c>
      <c r="BY161" s="443">
        <f t="shared" si="140"/>
        <v>33.391304347826086</v>
      </c>
      <c r="BZ161" s="443">
        <f t="shared" si="141"/>
        <v>22.341145833333336</v>
      </c>
      <c r="CA161" s="76">
        <v>660</v>
      </c>
      <c r="CB161" s="199">
        <f t="shared" si="142"/>
        <v>59811.112500000003</v>
      </c>
      <c r="CC161" s="289">
        <f t="shared" si="152"/>
        <v>575.95108695652175</v>
      </c>
      <c r="CD161" s="289">
        <f t="shared" si="153"/>
        <v>23.997961956521738</v>
      </c>
      <c r="CE161" s="72">
        <f>CC161/(BY161*(AVERAGE(D$106,D$156,D$127,D$133,D$150,D$151,D$100,D$116,D$123))*AVERAGE(E$106,E$156,E$127,E$133,E$150,E$151,E$100,E$116,E$123)*0.0001)</f>
        <v>685.63665366090618</v>
      </c>
      <c r="CF161" s="66"/>
      <c r="CG161" s="72">
        <f>CC161/(BY161*AVERAGE((D$106,D$156,D$127,D$133,D$150,D$151,D$100,D$116,D$123))*0.01)</f>
        <v>532.15688873891247</v>
      </c>
      <c r="CH161" s="433">
        <f t="shared" si="143"/>
        <v>0.77205239538407744</v>
      </c>
      <c r="CI161" s="66"/>
      <c r="CJ161" s="66"/>
      <c r="CK161" s="66"/>
      <c r="CL161" s="66"/>
      <c r="CM161" s="66"/>
      <c r="CN161" s="110"/>
    </row>
    <row r="162" spans="1:111" s="337" customFormat="1">
      <c r="A162" s="309">
        <f t="shared" si="146"/>
        <v>41317</v>
      </c>
      <c r="B162" s="310">
        <v>0.5</v>
      </c>
      <c r="C162" s="311">
        <f t="shared" si="116"/>
        <v>25</v>
      </c>
      <c r="D162" s="339">
        <v>3.53</v>
      </c>
      <c r="E162" s="365">
        <v>79.900000000000006</v>
      </c>
      <c r="F162" s="313"/>
      <c r="G162" s="365">
        <v>5.81</v>
      </c>
      <c r="H162" s="319"/>
      <c r="I162" s="319"/>
      <c r="J162" s="317"/>
      <c r="K162" s="317"/>
      <c r="L162" s="320"/>
      <c r="M162" s="317"/>
      <c r="N162" s="319"/>
      <c r="O162" s="316"/>
      <c r="P162" s="695"/>
      <c r="Q162" s="542"/>
      <c r="R162" s="424"/>
      <c r="S162" s="534"/>
      <c r="T162" s="534"/>
      <c r="U162" s="535"/>
      <c r="V162" s="339">
        <v>2.06</v>
      </c>
      <c r="W162" s="365">
        <v>68.48</v>
      </c>
      <c r="X162" s="348"/>
      <c r="Y162" s="319"/>
      <c r="Z162" s="319"/>
      <c r="AA162" s="317"/>
      <c r="AB162" s="317"/>
      <c r="AC162" s="320"/>
      <c r="AD162" s="391">
        <f>D156*(100-E156)/(100-W162)</f>
        <v>2.6394670050761424</v>
      </c>
      <c r="AE162" s="387">
        <f>D156-V162</f>
        <v>1.54</v>
      </c>
      <c r="AF162" s="393">
        <f>100*(AVERAGE(D101,D116,D123,D106,D99,D156,D151,D127,D133,D150)-V162)/AVERAGE(D101,D116,D123,D106,D99,D156,D151,D127,D133,D150)</f>
        <v>36.712749615975426</v>
      </c>
      <c r="AG162" s="393">
        <f>100*(1-((100-AVERAGE(E101,E116,E123,E106,E99,E156,E151,E127,E133,E150))/(100-W162)))</f>
        <v>27.725253807106618</v>
      </c>
      <c r="AH162" s="387">
        <f>E156-W162</f>
        <v>8.4099999999999966</v>
      </c>
      <c r="AI162" s="393">
        <f>100*(1-((V162*W162)/(AVERAGE(D101,D116,D123,D106,D99,D156,D151,D127,D133,D150)*AVERAGE(E101,E116,E123,E106,E99,E156,E151,E127,E133,E150))))</f>
        <v>43.875070820678822</v>
      </c>
      <c r="AJ162" s="389">
        <f>100*100*((AVERAGE(E101,E116,E123,E106,E99,E156,E151,E127,E133,E150)-W162)/((100-W162)*AVERAGE(E101,E116,E123,E106,E99,E156,E151,E127,E133,E150)))</f>
        <v>35.904704550831546</v>
      </c>
      <c r="AK162" s="318">
        <v>7.24</v>
      </c>
      <c r="AL162" s="319">
        <v>35.6</v>
      </c>
      <c r="AM162" s="313">
        <v>2393</v>
      </c>
      <c r="AN162" s="536">
        <f t="shared" si="148"/>
        <v>22.8096</v>
      </c>
      <c r="AO162" s="536">
        <f t="shared" si="149"/>
        <v>61.94760101010101</v>
      </c>
      <c r="AP162" s="313">
        <v>1161</v>
      </c>
      <c r="AQ162" s="313">
        <f t="shared" si="134"/>
        <v>107704.45312500001</v>
      </c>
      <c r="AR162" s="348">
        <f t="shared" si="150"/>
        <v>637.26300000000276</v>
      </c>
      <c r="AS162" s="512">
        <f t="shared" si="151"/>
        <v>26.552625000000116</v>
      </c>
      <c r="AT162" s="72">
        <f t="shared" si="154"/>
        <v>1110.562085929769</v>
      </c>
      <c r="AU162" s="313">
        <f>(AQ162-AQ133)/(AVERAGE(AN133:AN162)*((AVERAGE(D150,D135,D133,D127,D156,D123,D151)*AVERAGE(E150,E135,E133,E127,E156,E123,E151))-(V162*W162))*0.0001*(SUM(C133:C162)/24))</f>
        <v>737.65536279393598</v>
      </c>
      <c r="AV162" s="143">
        <f>AR162/(AVERAGE(AN161:AN163)*AVERAGE(D$106,D$156,D$127,D$133,D$150,D$151,D$100,D$116,D$123)*0.01)</f>
        <v>415.00518549751712</v>
      </c>
      <c r="AW162" s="511">
        <f>AR162/AQ$3</f>
        <v>0.45100000000000195</v>
      </c>
      <c r="AX162" s="319">
        <v>68.400000000000006</v>
      </c>
      <c r="AY162" s="319">
        <v>29.7</v>
      </c>
      <c r="AZ162" s="319">
        <v>0</v>
      </c>
      <c r="BA162" s="319">
        <v>56</v>
      </c>
      <c r="BB162" s="319">
        <v>135</v>
      </c>
      <c r="BC162" s="320" t="s">
        <v>139</v>
      </c>
      <c r="BD162" s="368"/>
      <c r="BE162" s="330"/>
      <c r="BF162" s="535"/>
      <c r="BG162" s="339">
        <v>2.16</v>
      </c>
      <c r="BH162" s="365">
        <v>67.37</v>
      </c>
      <c r="BI162" s="348"/>
      <c r="BJ162" s="319"/>
      <c r="BK162" s="348"/>
      <c r="BL162" s="317"/>
      <c r="BM162" s="317"/>
      <c r="BN162" s="320"/>
      <c r="BO162" s="376">
        <f>D156*(100-E156)/(100-BH162)</f>
        <v>2.5496782102359794</v>
      </c>
      <c r="BP162" s="372">
        <f>D156-BG162</f>
        <v>1.44</v>
      </c>
      <c r="BQ162" s="374">
        <f>100*(AVERAGE(D101,D116,D123,D106,D99,D156,D151,D127,D133,D150)-BG162)/AVERAGE(D101,D116,D123,D106,D156,D156,D151,D127,D133,D150)</f>
        <v>33.537519142419598</v>
      </c>
      <c r="BR162" s="367">
        <f>100*(1-((100-AVERAGE(E101,E116,E123,E106,E99,E156,E151,E127,E133,E150))/(100-BH162)))</f>
        <v>30.183879865154783</v>
      </c>
      <c r="BS162" s="375">
        <f>E156-BH162</f>
        <v>9.519999999999996</v>
      </c>
      <c r="BT162" s="312">
        <f>100*(1-((BG162*BH162)/(AVERAGE(D101,D116,D123,D106,D99,D156,D151,D127,D133,D150)*AVERAGE(E107,E122,E129,E112,E105,E99,E157,E133,E139,E156))))</f>
        <v>41.760789291322332</v>
      </c>
      <c r="BU162" s="412">
        <f>100*100*((AVERAGE(E101,E116,E123,E106,E99,E156,E151,E127,E133,E150)-BH162)/((100-BH162)*AVERAGE(E101,E116,E123,E106,E99,E156,E151,E127,E133,E150)))</f>
        <v>39.088669712317923</v>
      </c>
      <c r="BV162" s="318">
        <v>7.3</v>
      </c>
      <c r="BW162" s="319">
        <v>51</v>
      </c>
      <c r="BX162" s="313">
        <v>1396</v>
      </c>
      <c r="BY162" s="462">
        <f t="shared" si="140"/>
        <v>30.72</v>
      </c>
      <c r="BZ162" s="462">
        <f t="shared" si="141"/>
        <v>24.283854166666668</v>
      </c>
      <c r="CA162" s="348">
        <v>670</v>
      </c>
      <c r="CB162" s="348">
        <f t="shared" si="142"/>
        <v>60424.393750000003</v>
      </c>
      <c r="CC162" s="334">
        <f t="shared" si="152"/>
        <v>588.75</v>
      </c>
      <c r="CD162" s="334">
        <f t="shared" si="153"/>
        <v>24.53125</v>
      </c>
      <c r="CE162" s="72">
        <f>CC162/(BY162*(AVERAGE(D$106,D$156,D$127,D$133,D$150,D$151,D$100,D$116,D$123))*AVERAGE(E$106,E$156,E$127,E$133,E$150,E$151,E$100,E$116,E$123)*0.0001)</f>
        <v>761.81850406767353</v>
      </c>
      <c r="CF162" s="313">
        <f>(CB162-CB133)/(AVERAGE(BY133:BY162)*((AVERAGE(D150,D133,D135,D151,D156)*AVERAGE(E150,E133,E156,E135,E151))-(BG162*BH162))*0.0001*(SUM(C133:C162)/24))</f>
        <v>1165.1527934336557</v>
      </c>
      <c r="CG162" s="72">
        <f>CC162/(BY162*AVERAGE((D$106,D$156,D$127,D$133,D$150,D$151,D$100,D$116,D$123))*0.01)</f>
        <v>591.28543193212488</v>
      </c>
      <c r="CH162" s="433">
        <f t="shared" si="143"/>
        <v>0.78920911528150139</v>
      </c>
      <c r="CI162" s="319">
        <v>68.5</v>
      </c>
      <c r="CJ162" s="319">
        <v>30.9</v>
      </c>
      <c r="CK162" s="319">
        <v>0</v>
      </c>
      <c r="CL162" s="319">
        <v>98</v>
      </c>
      <c r="CM162" s="319">
        <v>300</v>
      </c>
      <c r="CN162" s="320" t="s">
        <v>139</v>
      </c>
    </row>
    <row r="163" spans="1:111" ht="15">
      <c r="A163" s="141">
        <f t="shared" si="146"/>
        <v>41318</v>
      </c>
      <c r="B163" s="307">
        <v>0.16666666666666666</v>
      </c>
      <c r="C163" s="304">
        <f t="shared" si="116"/>
        <v>16</v>
      </c>
      <c r="D163" s="65"/>
      <c r="E163" s="66"/>
      <c r="F163" s="66"/>
      <c r="G163" s="66"/>
      <c r="H163" s="66"/>
      <c r="I163" s="66"/>
      <c r="J163" s="86"/>
      <c r="K163" s="86"/>
      <c r="L163" s="63"/>
      <c r="M163" s="86"/>
      <c r="N163" s="66"/>
      <c r="O163" s="261"/>
      <c r="P163" s="699"/>
      <c r="Q163" s="700"/>
      <c r="R163" s="701"/>
      <c r="S163" s="86"/>
      <c r="T163" s="86"/>
      <c r="U163" s="86"/>
      <c r="V163" s="65"/>
      <c r="W163" s="66"/>
      <c r="X163" s="66"/>
      <c r="Y163" s="66"/>
      <c r="Z163" s="66"/>
      <c r="AA163" s="86"/>
      <c r="AB163" s="86"/>
      <c r="AC163" s="63"/>
      <c r="AD163" s="87"/>
      <c r="AE163" s="87"/>
      <c r="AF163" s="87"/>
      <c r="AG163" s="66"/>
      <c r="AH163" s="66"/>
      <c r="AI163" s="64"/>
      <c r="AJ163" s="63"/>
      <c r="AK163" s="65"/>
      <c r="AL163" s="66">
        <v>35.6</v>
      </c>
      <c r="AM163" s="72">
        <v>2418</v>
      </c>
      <c r="AN163" s="89">
        <f t="shared" ref="AN163:AN178" si="155">(AM163-AM162)*AQ$1/((C163)/24)</f>
        <v>81</v>
      </c>
      <c r="AO163" s="488">
        <f t="shared" ref="AO163:AO178" si="156">AQ$3/AN163</f>
        <v>17.444444444444443</v>
      </c>
      <c r="AP163" s="72">
        <v>1174</v>
      </c>
      <c r="AQ163" s="199">
        <f t="shared" si="134"/>
        <v>108488.96250000001</v>
      </c>
      <c r="AR163" s="76">
        <f t="shared" si="150"/>
        <v>1176.7640624999913</v>
      </c>
      <c r="AS163" s="230">
        <f t="shared" si="151"/>
        <v>49.031835937499636</v>
      </c>
      <c r="AT163" s="72">
        <f>AR163/(AVERAGE(AN163,AN162:AN164)*(AVERAGE(D$106,D$156,D$127,D$133,D$150,D$151,D$162,D$116,D$123))*AVERAGE(E$106,E$156,E$127,E$133,E$150,E$151,E$162,E$116,E$123)*0.0001)</f>
        <v>734.38617016072453</v>
      </c>
      <c r="AU163" s="66"/>
      <c r="AV163" s="143">
        <f>AR163/(AVERAGE(AN162:AN164)*AVERAGE(D$106,D$156,D$127,D$133,D$150,D$151,D$162,D$116,D$123)*0.01)</f>
        <v>632.69632790411572</v>
      </c>
      <c r="AW163" s="511">
        <f t="shared" ref="AW163:AW226" si="157">AR163/AQ$3</f>
        <v>0.83281249999999385</v>
      </c>
      <c r="AX163" s="66"/>
      <c r="AY163" s="66"/>
      <c r="AZ163" s="66"/>
      <c r="BA163" s="66"/>
      <c r="BB163" s="66"/>
      <c r="BC163" s="299" t="s">
        <v>139</v>
      </c>
      <c r="BD163" s="64"/>
      <c r="BE163" s="147"/>
      <c r="BF163" s="86"/>
      <c r="BG163" s="65"/>
      <c r="BH163" s="66"/>
      <c r="BI163" s="66"/>
      <c r="BJ163" s="66"/>
      <c r="BK163" s="66"/>
      <c r="BL163" s="86"/>
      <c r="BM163" s="86"/>
      <c r="BN163" s="63"/>
      <c r="BO163" s="87"/>
      <c r="BP163" s="87"/>
      <c r="BQ163" s="87"/>
      <c r="BR163" s="66"/>
      <c r="BS163" s="64"/>
      <c r="BT163" s="66"/>
      <c r="BU163" s="67"/>
      <c r="BV163" s="65"/>
      <c r="BW163" s="66">
        <v>51</v>
      </c>
      <c r="BX163" s="66">
        <v>1403</v>
      </c>
      <c r="BY163" s="443">
        <f t="shared" si="140"/>
        <v>21</v>
      </c>
      <c r="BZ163" s="443">
        <f t="shared" si="141"/>
        <v>35.523809523809526</v>
      </c>
      <c r="CA163" s="76">
        <v>676</v>
      </c>
      <c r="CB163" s="199">
        <f t="shared" si="142"/>
        <v>60792.362500000003</v>
      </c>
      <c r="CC163" s="289">
        <f t="shared" si="152"/>
        <v>551.953125</v>
      </c>
      <c r="CD163" s="289">
        <f t="shared" si="153"/>
        <v>22.998046875</v>
      </c>
      <c r="CE163" s="72">
        <f>CC163/((AVERAGE(BY163,BY165))*(AVERAGE(D$106,D$156,D$127,D$133,D$150,D$151,D$162,D$116,D$123))*AVERAGE(E$106,E$156,E$127,E$133,E$150,E$151,E$162,E$116,E$123)*0.0001)</f>
        <v>509.51744210696745</v>
      </c>
      <c r="CF163" s="66"/>
      <c r="CG163" s="72">
        <f>CC163/(BY163*AVERAGE((D$106,D$156,D$127,D$133,D$150,D$151,D$162,D$116,D$123))*0.01)</f>
        <v>802.95770293860915</v>
      </c>
      <c r="CH163" s="433">
        <f t="shared" si="143"/>
        <v>0.73988354557640745</v>
      </c>
      <c r="CI163" s="66"/>
      <c r="CJ163" s="66"/>
      <c r="CK163" s="66"/>
      <c r="CL163" s="66"/>
      <c r="CM163" s="66"/>
      <c r="CN163" s="113"/>
    </row>
    <row r="164" spans="1:111" s="337" customFormat="1" ht="15">
      <c r="A164" s="309">
        <f t="shared" si="146"/>
        <v>41319</v>
      </c>
      <c r="B164" s="310">
        <v>0.33333333333333331</v>
      </c>
      <c r="C164" s="311">
        <f t="shared" si="116"/>
        <v>28</v>
      </c>
      <c r="D164" s="318">
        <v>3.5</v>
      </c>
      <c r="E164" s="319">
        <v>76.599999999999994</v>
      </c>
      <c r="F164" s="313">
        <v>46900</v>
      </c>
      <c r="G164" s="319"/>
      <c r="H164" s="319">
        <v>40.299999999999997</v>
      </c>
      <c r="I164" s="313">
        <v>4843</v>
      </c>
      <c r="J164" s="317">
        <v>165</v>
      </c>
      <c r="K164" s="317">
        <v>26.2</v>
      </c>
      <c r="L164" s="320">
        <v>254</v>
      </c>
      <c r="M164" s="317"/>
      <c r="N164" s="319"/>
      <c r="O164" s="316"/>
      <c r="P164" s="699"/>
      <c r="Q164" s="703"/>
      <c r="R164" s="704"/>
      <c r="S164" s="534"/>
      <c r="T164" s="534"/>
      <c r="U164" s="541"/>
      <c r="V164" s="318">
        <v>2.2000000000000002</v>
      </c>
      <c r="W164" s="319">
        <v>65.400000000000006</v>
      </c>
      <c r="X164" s="348">
        <v>24800</v>
      </c>
      <c r="Y164" s="319">
        <v>35.9</v>
      </c>
      <c r="Z164" s="319">
        <v>824</v>
      </c>
      <c r="AA164" s="317">
        <v>165</v>
      </c>
      <c r="AB164" s="317">
        <v>34.6</v>
      </c>
      <c r="AC164" s="320">
        <v>202</v>
      </c>
      <c r="AD164" s="391">
        <f>D162*(100-E162)/(100-W164)</f>
        <v>2.0506647398843927</v>
      </c>
      <c r="AE164" s="387">
        <f>D162-V164</f>
        <v>1.3299999999999996</v>
      </c>
      <c r="AF164" s="393">
        <f>100*(AVERAGE(D101,D116,D123,D106,D162,D156,D151,D127,D133,D150)-V164)/AVERAGE(D101,D116,D123,D106,D162,D156,D151,D127,D133,D150)</f>
        <v>32.473910374462861</v>
      </c>
      <c r="AG164" s="393">
        <f>100*(1-((100-AVERAGE(E101,E116,E123,E106,E162,E156,E151,E127,E133,E150))/(100-W164)))</f>
        <v>35.430635838150259</v>
      </c>
      <c r="AH164" s="387">
        <f>E162-W164</f>
        <v>14.5</v>
      </c>
      <c r="AI164" s="393">
        <f>100*(1-((V164*W164)/(AVERAGE(D101,D116,D123,D106,D162,D156,D151,D127,D133,D150)*AVERAGE(E101,E116,E123,E106,E162,E156,E151,E127,E133,E150))))</f>
        <v>43.133361728709751</v>
      </c>
      <c r="AJ164" s="389">
        <f>100*100*((AVERAGE(E101,E116,E123,E106,E162,E156,E151,E127,E133,E150)-W164)/((100-W164)*AVERAGE(E101,E116,E123,E106,E162,E156,E151,E127,E133,E150)))</f>
        <v>45.623348019096639</v>
      </c>
      <c r="AK164" s="318"/>
      <c r="AL164" s="319">
        <v>35.6</v>
      </c>
      <c r="AM164" s="313">
        <v>2454</v>
      </c>
      <c r="AN164" s="327">
        <f t="shared" si="155"/>
        <v>66.651428571428568</v>
      </c>
      <c r="AO164" s="489">
        <f t="shared" si="156"/>
        <v>21.199845679012348</v>
      </c>
      <c r="AP164" s="313">
        <v>1197</v>
      </c>
      <c r="AQ164" s="493">
        <f t="shared" si="134"/>
        <v>109876.94062500002</v>
      </c>
      <c r="AR164" s="348">
        <f>(AQ164-AQ163)/(C164/24)</f>
        <v>1189.6955357142931</v>
      </c>
      <c r="AS164" s="512">
        <f>(AQ164-AQ163)/C164</f>
        <v>49.570647321428886</v>
      </c>
      <c r="AT164" s="72">
        <f>AR164/(AVERAGE(AN164,AN163:AN165)*(AVERAGE(D$106,D$156,D$127,D$133,D$150,D$151,D$162,D$116,D$123))*AVERAGE(E$106,E$156,E$127,E$133,E$150,E$151,E$162,E$116,E$123)*0.0001)</f>
        <v>684.82459195680883</v>
      </c>
      <c r="AU164" s="313">
        <f>(AQ164-AQ135)/(AVERAGE(AN135:AN164)*((AVERAGE(D150,D135,D133,D127,D156,D123,D151,D162)*AVERAGE(E150,E135,E133,E127,E156,E123,E151,E162))-(V164*W164))*0.0001*(SUM(C135:C164)/24))</f>
        <v>776.0576606870502</v>
      </c>
      <c r="AV164" s="143">
        <f>AR164/(AVERAGE(AN163:AN165)*AVERAGE(D$106,D$156,D$127,D$133,D$150,D$151,D$162,D$116,D$123)*0.01)</f>
        <v>529.37066637680812</v>
      </c>
      <c r="AW164" s="511">
        <f t="shared" si="157"/>
        <v>0.84196428571429094</v>
      </c>
      <c r="AX164" s="319"/>
      <c r="AY164" s="319"/>
      <c r="AZ164" s="319"/>
      <c r="BA164" s="319"/>
      <c r="BB164" s="319"/>
      <c r="BC164" s="320"/>
      <c r="BD164" s="368"/>
      <c r="BE164" s="330"/>
      <c r="BF164" s="541"/>
      <c r="BG164" s="318">
        <v>2.2999999999999998</v>
      </c>
      <c r="BH164" s="319">
        <v>63.7</v>
      </c>
      <c r="BI164" s="348">
        <v>25200</v>
      </c>
      <c r="BJ164" s="319">
        <v>39.9</v>
      </c>
      <c r="BK164" s="348">
        <v>2958</v>
      </c>
      <c r="BL164" s="317">
        <v>589</v>
      </c>
      <c r="BM164" s="317">
        <v>17</v>
      </c>
      <c r="BN164" s="320">
        <v>154</v>
      </c>
      <c r="BO164" s="376">
        <f>D162*(100-E162)/(100-BH164)</f>
        <v>1.9546280991735532</v>
      </c>
      <c r="BP164" s="372">
        <f>D162-BG164</f>
        <v>1.23</v>
      </c>
      <c r="BQ164" s="374">
        <f>100*(AVERAGE(D101,D116,D123,D106,D162,D156,D151,D127,D133,D150)-BG164)/AVERAGE(D101,D116,D123,D106,D162,D156,D151,D127,D133,D150)</f>
        <v>29.404542664211188</v>
      </c>
      <c r="BR164" s="367">
        <f>100*(1-((100-AVERAGE(E101,E116,E123,E106,E162,E156,E151,E127,E133,E150))/(100-BH164)))</f>
        <v>38.454545454545432</v>
      </c>
      <c r="BS164" s="375">
        <f>E162-BH164</f>
        <v>16.200000000000003</v>
      </c>
      <c r="BT164" s="312">
        <f>100*(1-((BG164*BH164)/(AVERAGE(D101,D116,D123,D106,D162,D156,D151,D127,D133,D150)*AVERAGE(E101,E116,E123,E106,E162,E156,E151,E127,E133,E150))))</f>
        <v>42.093889539013531</v>
      </c>
      <c r="BU164" s="412">
        <f>100*100*((AVERAGE(E101,E116,E123,E106,E162,E156,E151,E127,E133,E150)-BH164)/((100-BH164)*AVERAGE(E101,E116,E123,E106,E162,E156,E151,E127,E133,E150)))</f>
        <v>49.517178246623615</v>
      </c>
      <c r="BV164" s="318"/>
      <c r="BW164" s="319">
        <v>51</v>
      </c>
      <c r="BX164" s="319">
        <v>1412</v>
      </c>
      <c r="BY164" s="462">
        <f t="shared" si="140"/>
        <v>15.428571428571427</v>
      </c>
      <c r="BZ164" s="462">
        <f t="shared" si="141"/>
        <v>48.351851851851855</v>
      </c>
      <c r="CA164" s="348">
        <v>687</v>
      </c>
      <c r="CB164" s="348">
        <f t="shared" si="142"/>
        <v>61466.971875000003</v>
      </c>
      <c r="CC164" s="334">
        <f t="shared" si="152"/>
        <v>578.23660714285711</v>
      </c>
      <c r="CD164" s="334">
        <f t="shared" si="153"/>
        <v>24.093191964285715</v>
      </c>
      <c r="CE164" s="72">
        <f>CC164/(AVERAGE(BY164,BY165)*(AVERAGE(D$106,D$156,D$127,D$133,D$150,D$151,D$162,D$116,D$123))*AVERAGE(E$106,E$156,E$127,E$133,E$150,E$151,E$162,E$116,E$123)*0.0001)</f>
        <v>571.22159276980165</v>
      </c>
      <c r="CF164" s="313">
        <f>(CB164-CB135)/(AVERAGE(BY135:BY164)*((AVERAGE(D150,D133,D135,D151,D156,D162)*AVERAGE(E150,E133,E156,E135,E151,E162))-(BG164*BH164))*0.0001*(SUM(C135:C164)/24))</f>
        <v>1160.073797129442</v>
      </c>
      <c r="CG164" s="72">
        <f>CC164/(AVERAGE(BY164,BY165)*AVERAGE((D$106,D$156,D$127,D$133,D$150,D$151,D$162,D$116,D$123))*0.01)</f>
        <v>444.80390738325826</v>
      </c>
      <c r="CH164" s="433">
        <f t="shared" si="143"/>
        <v>0.7751160953657602</v>
      </c>
      <c r="CI164" s="319"/>
      <c r="CJ164" s="319"/>
      <c r="CK164" s="319"/>
      <c r="CL164" s="319"/>
      <c r="CM164" s="319"/>
      <c r="CN164" s="445"/>
      <c r="CQ164" s="337" t="s">
        <v>67</v>
      </c>
    </row>
    <row r="165" spans="1:111" ht="28.5">
      <c r="A165" s="141">
        <f t="shared" si="146"/>
        <v>41320</v>
      </c>
      <c r="B165" s="307">
        <v>0.33333333333333331</v>
      </c>
      <c r="C165" s="304">
        <f t="shared" si="116"/>
        <v>24</v>
      </c>
      <c r="D165" s="65"/>
      <c r="E165" s="66"/>
      <c r="F165" s="66"/>
      <c r="G165" s="66"/>
      <c r="H165" s="66"/>
      <c r="I165" s="66"/>
      <c r="J165" s="86"/>
      <c r="K165" s="86"/>
      <c r="L165" s="63"/>
      <c r="M165" s="86"/>
      <c r="N165" s="66"/>
      <c r="O165" s="261"/>
      <c r="P165" s="699"/>
      <c r="Q165" s="700"/>
      <c r="R165" s="701"/>
      <c r="S165" s="86"/>
      <c r="T165" s="86"/>
      <c r="U165" s="86"/>
      <c r="V165" s="65"/>
      <c r="W165" s="66"/>
      <c r="X165" s="66"/>
      <c r="Y165" s="66"/>
      <c r="Z165" s="66"/>
      <c r="AA165" s="86"/>
      <c r="AB165" s="86"/>
      <c r="AC165" s="63"/>
      <c r="AD165" s="87"/>
      <c r="AE165" s="87"/>
      <c r="AF165" s="87"/>
      <c r="AG165" s="66"/>
      <c r="AH165" s="66"/>
      <c r="AI165" s="64"/>
      <c r="AJ165" s="63"/>
      <c r="AK165" s="65"/>
      <c r="AL165" s="66">
        <v>35.6</v>
      </c>
      <c r="AM165" s="72">
        <v>2481</v>
      </c>
      <c r="AN165" s="89">
        <f t="shared" si="155"/>
        <v>58.320000000000007</v>
      </c>
      <c r="AO165" s="488">
        <f t="shared" si="156"/>
        <v>24.228395061728392</v>
      </c>
      <c r="AP165" s="72">
        <v>1217</v>
      </c>
      <c r="AQ165" s="199">
        <f t="shared" si="134"/>
        <v>111083.87812500002</v>
      </c>
      <c r="AR165" s="76">
        <f t="shared" si="150"/>
        <v>1206.9375</v>
      </c>
      <c r="AS165" s="230">
        <f t="shared" si="151"/>
        <v>50.2890625</v>
      </c>
      <c r="AT165" s="72">
        <f>AR165/(AVERAGE(AN165,AN164:AN166)*(AVERAGE(D$164,D$156,D$127,D$133,D$150,D$151,D$162,D$116,D$123))*AVERAGE(E$164,E$156,E$127,E$133,E$150,E$151,E$162,E$116,E$123)*0.0001)</f>
        <v>756.8669244628561</v>
      </c>
      <c r="AU165" s="66"/>
      <c r="AV165" s="143">
        <f>AR165/(AVERAGE(AN164:AN166)*AVERAGE(D$164,D$156,D$127,D$133,D$150,D$151,D$162,D$116,D$123)*0.01)</f>
        <v>580.69680764489226</v>
      </c>
      <c r="AW165" s="511">
        <f t="shared" si="157"/>
        <v>0.85416666666666663</v>
      </c>
      <c r="AX165" s="66"/>
      <c r="AY165" s="66"/>
      <c r="AZ165" s="66"/>
      <c r="BA165" s="66"/>
      <c r="BB165" s="66"/>
      <c r="BC165" s="63"/>
      <c r="BD165" s="64"/>
      <c r="BE165" s="147"/>
      <c r="BF165" s="86"/>
      <c r="BG165" s="65"/>
      <c r="BH165" s="66"/>
      <c r="BI165" s="66"/>
      <c r="BJ165" s="66"/>
      <c r="BK165" s="66"/>
      <c r="BL165" s="86"/>
      <c r="BM165" s="86"/>
      <c r="BN165" s="63"/>
      <c r="BO165" s="87"/>
      <c r="BP165" s="87"/>
      <c r="BQ165" s="87"/>
      <c r="BR165" s="66"/>
      <c r="BS165" s="64"/>
      <c r="BT165" s="66"/>
      <c r="BU165" s="67"/>
      <c r="BV165" s="65"/>
      <c r="BW165" s="66">
        <v>51</v>
      </c>
      <c r="BX165" s="72">
        <v>1444</v>
      </c>
      <c r="BY165" s="443">
        <f t="shared" si="140"/>
        <v>64</v>
      </c>
      <c r="BZ165" s="443">
        <f t="shared" si="141"/>
        <v>11.65625</v>
      </c>
      <c r="CA165" s="72">
        <v>701</v>
      </c>
      <c r="CB165" s="199">
        <f t="shared" si="142"/>
        <v>62325.565625000003</v>
      </c>
      <c r="CC165" s="289">
        <f t="shared" si="152"/>
        <v>858.59375</v>
      </c>
      <c r="CD165" s="289">
        <f t="shared" si="153"/>
        <v>35.774739583333336</v>
      </c>
      <c r="CE165" s="72">
        <f>CC165/(BY165*(AVERAGE(D$164,D$156,D$127,D$133,D$150,D$151,D$162,D$116,D$123))*AVERAGE(E$164,E$156,E$127,E$133,E$150,E$151,E$162,E$116,E$123)*0.0001)</f>
        <v>512.70234688747212</v>
      </c>
      <c r="CF165" s="66"/>
      <c r="CG165" s="72">
        <f>CC165/(BY165*AVERAGE((D$164,D$156,D$127,D$133,D$150,D$151,D$162,D$116,D$123))*0.01)</f>
        <v>399.00775311880363</v>
      </c>
      <c r="CH165" s="433">
        <f t="shared" si="143"/>
        <v>1.1509299597855227</v>
      </c>
      <c r="CI165" s="66"/>
      <c r="CJ165" s="66"/>
      <c r="CK165" s="66"/>
      <c r="CL165" s="66"/>
      <c r="CM165" s="66"/>
      <c r="CN165" s="110"/>
      <c r="CT165" s="128" t="s">
        <v>68</v>
      </c>
      <c r="CX165" s="128" t="s">
        <v>68</v>
      </c>
      <c r="CY165" t="s">
        <v>46</v>
      </c>
      <c r="DG165" t="s">
        <v>40</v>
      </c>
    </row>
    <row r="166" spans="1:111" s="69" customFormat="1" ht="26.25" thickBot="1">
      <c r="A166" s="141">
        <f t="shared" si="146"/>
        <v>41321</v>
      </c>
      <c r="B166" s="307">
        <f>B165</f>
        <v>0.33333333333333331</v>
      </c>
      <c r="C166" s="304">
        <f t="shared" si="116"/>
        <v>24</v>
      </c>
      <c r="D166" s="65"/>
      <c r="E166" s="66"/>
      <c r="F166" s="72"/>
      <c r="G166" s="66"/>
      <c r="H166" s="66"/>
      <c r="I166" s="66"/>
      <c r="J166" s="86"/>
      <c r="K166" s="86"/>
      <c r="L166" s="63"/>
      <c r="M166" s="86"/>
      <c r="N166" s="66"/>
      <c r="O166" s="261"/>
      <c r="P166" s="702"/>
      <c r="Q166" s="542"/>
      <c r="R166" s="424"/>
      <c r="S166" s="86"/>
      <c r="T166" s="86"/>
      <c r="U166" s="86"/>
      <c r="V166" s="65"/>
      <c r="W166" s="66"/>
      <c r="X166" s="76"/>
      <c r="Y166" s="66"/>
      <c r="Z166" s="66"/>
      <c r="AA166" s="86"/>
      <c r="AB166" s="86"/>
      <c r="AC166" s="63"/>
      <c r="AD166" s="93"/>
      <c r="AE166" s="83"/>
      <c r="AF166" s="88"/>
      <c r="AG166" s="85"/>
      <c r="AH166" s="75"/>
      <c r="AI166" s="83"/>
      <c r="AJ166" s="195"/>
      <c r="AK166" s="65"/>
      <c r="AL166" s="66">
        <v>35.6</v>
      </c>
      <c r="AM166" s="72">
        <v>2509</v>
      </c>
      <c r="AN166" s="89">
        <f t="shared" si="155"/>
        <v>60.480000000000004</v>
      </c>
      <c r="AO166" s="488">
        <f t="shared" si="156"/>
        <v>23.363095238095237</v>
      </c>
      <c r="AP166" s="72">
        <v>1237</v>
      </c>
      <c r="AQ166" s="72">
        <f t="shared" si="134"/>
        <v>112290.81562500002</v>
      </c>
      <c r="AR166" s="76">
        <f t="shared" si="150"/>
        <v>1206.9375</v>
      </c>
      <c r="AS166" s="230">
        <f t="shared" si="151"/>
        <v>50.2890625</v>
      </c>
      <c r="AT166" s="72">
        <f>AR166/(AVERAGE(AN166,AN165:AN167)*(AVERAGE(D$164,D$156,D$127,D$133,D$150,D$151,D$162,D$116,D$123))*AVERAGE(E$164,E$156,E$127,E$133,E$150,E$151,E$162,E$116,E$123)*0.0001)</f>
        <v>769.53007763919743</v>
      </c>
      <c r="AU166" s="85"/>
      <c r="AV166" s="143">
        <f>AR166/(AVERAGE(AN165:AN167)*AVERAGE(D$164,D$156,D$127,D$133,D$150,D$151,D$162,D$116,D$123)*0.01)</f>
        <v>600.6863707307748</v>
      </c>
      <c r="AW166" s="511">
        <f t="shared" si="157"/>
        <v>0.85416666666666663</v>
      </c>
      <c r="AX166" s="66"/>
      <c r="AY166" s="66"/>
      <c r="AZ166" s="66"/>
      <c r="BA166" s="66"/>
      <c r="BB166" s="66"/>
      <c r="BC166" s="63"/>
      <c r="BD166" s="64"/>
      <c r="BE166" s="147"/>
      <c r="BF166" s="86"/>
      <c r="BG166" s="65"/>
      <c r="BH166" s="66"/>
      <c r="BI166" s="76"/>
      <c r="BJ166" s="66"/>
      <c r="BK166" s="76"/>
      <c r="BL166" s="86"/>
      <c r="BM166" s="86"/>
      <c r="BN166" s="63"/>
      <c r="BO166" s="93"/>
      <c r="BP166" s="83"/>
      <c r="BQ166" s="88"/>
      <c r="BR166" s="85"/>
      <c r="BS166" s="194"/>
      <c r="BT166" s="75"/>
      <c r="BU166" s="179"/>
      <c r="BV166" s="65"/>
      <c r="BW166" s="66">
        <v>51</v>
      </c>
      <c r="BX166" s="72">
        <v>1460</v>
      </c>
      <c r="BY166" s="443">
        <f t="shared" si="140"/>
        <v>32</v>
      </c>
      <c r="BZ166" s="443">
        <f t="shared" si="141"/>
        <v>23.3125</v>
      </c>
      <c r="CA166" s="76">
        <v>715</v>
      </c>
      <c r="CB166" s="76">
        <f t="shared" si="142"/>
        <v>63184.159375000003</v>
      </c>
      <c r="CC166" s="289">
        <f t="shared" si="152"/>
        <v>858.59375</v>
      </c>
      <c r="CD166" s="289">
        <f t="shared" si="153"/>
        <v>35.774739583333336</v>
      </c>
      <c r="CE166" s="72">
        <f>CC166/((AVERAGE(BY166,BY168))*(AVERAGE(D$164,D$156,D$127,D$133,D$150,D$151,D$162,D$116,D$123))*AVERAGE(E$164,E$156,E$127,E$133,E$150,E$151,E$162,E$116,E$123)*0.0001)</f>
        <v>763.09186513484235</v>
      </c>
      <c r="CF166" s="161"/>
      <c r="CG166" s="72">
        <f>CC166/(BY166*AVERAGE((D$164,D$156,D$127,D$133,D$150,D$151,D$162,D$116,D$123))*0.01)</f>
        <v>798.01550623760727</v>
      </c>
      <c r="CH166" s="433">
        <f t="shared" si="143"/>
        <v>1.1509299597855227</v>
      </c>
      <c r="CI166" s="66"/>
      <c r="CJ166" s="66"/>
      <c r="CK166" s="66"/>
      <c r="CL166" s="66"/>
      <c r="CM166" s="66"/>
      <c r="CN166" s="111"/>
      <c r="CP166" s="49" t="s">
        <v>6</v>
      </c>
      <c r="CQ166" s="49" t="s">
        <v>57</v>
      </c>
      <c r="CR166" s="49" t="s">
        <v>52</v>
      </c>
      <c r="CS166" s="49" t="s">
        <v>58</v>
      </c>
      <c r="CT166" s="49" t="s">
        <v>58</v>
      </c>
      <c r="CU166" s="49" t="s">
        <v>59</v>
      </c>
      <c r="CV166" s="49"/>
      <c r="CW166" s="49" t="s">
        <v>60</v>
      </c>
      <c r="CX166" s="49" t="s">
        <v>60</v>
      </c>
      <c r="CY166" s="49" t="s">
        <v>60</v>
      </c>
      <c r="CZ166" s="57" t="s">
        <v>6</v>
      </c>
      <c r="DA166" s="57" t="s">
        <v>57</v>
      </c>
      <c r="DB166" s="62" t="s">
        <v>52</v>
      </c>
      <c r="DC166" s="62" t="s">
        <v>58</v>
      </c>
      <c r="DD166" s="62" t="s">
        <v>58</v>
      </c>
      <c r="DE166" s="62" t="s">
        <v>59</v>
      </c>
      <c r="DF166" s="62" t="s">
        <v>60</v>
      </c>
      <c r="DG166" s="62" t="s">
        <v>60</v>
      </c>
    </row>
    <row r="167" spans="1:111" ht="15.75" thickBot="1">
      <c r="A167" s="141">
        <f t="shared" si="146"/>
        <v>41322</v>
      </c>
      <c r="B167" s="307">
        <f>B166</f>
        <v>0.33333333333333331</v>
      </c>
      <c r="C167" s="304">
        <f t="shared" si="116"/>
        <v>24</v>
      </c>
      <c r="D167" s="147"/>
      <c r="E167" s="147"/>
      <c r="F167" s="147"/>
      <c r="G167" s="147"/>
      <c r="H167" s="147"/>
      <c r="I167" s="147"/>
      <c r="J167" s="145"/>
      <c r="K167" s="145"/>
      <c r="L167" s="148"/>
      <c r="M167" s="153"/>
      <c r="N167" s="149"/>
      <c r="O167" s="261"/>
      <c r="P167" s="699"/>
      <c r="Q167" s="700"/>
      <c r="R167" s="705"/>
      <c r="S167" s="155"/>
      <c r="T167" s="153"/>
      <c r="U167" s="213"/>
      <c r="V167" s="149"/>
      <c r="W167" s="147"/>
      <c r="X167" s="147"/>
      <c r="Y167" s="147"/>
      <c r="Z167" s="147"/>
      <c r="AA167" s="145"/>
      <c r="AB167" s="145"/>
      <c r="AC167" s="148"/>
      <c r="AD167" s="149"/>
      <c r="AE167" s="147"/>
      <c r="AF167" s="147"/>
      <c r="AG167" s="147"/>
      <c r="AH167" s="147"/>
      <c r="AI167" s="147"/>
      <c r="AJ167" s="148"/>
      <c r="AK167" s="149"/>
      <c r="AL167" s="147">
        <v>35.6</v>
      </c>
      <c r="AM167" s="72">
        <v>2537</v>
      </c>
      <c r="AN167" s="89">
        <f t="shared" si="155"/>
        <v>60.480000000000004</v>
      </c>
      <c r="AO167" s="488">
        <f t="shared" si="156"/>
        <v>23.363095238095237</v>
      </c>
      <c r="AP167" s="72">
        <v>1257</v>
      </c>
      <c r="AQ167" s="199">
        <f t="shared" si="134"/>
        <v>113497.75312500002</v>
      </c>
      <c r="AR167" s="76">
        <f t="shared" si="150"/>
        <v>1206.9375</v>
      </c>
      <c r="AS167" s="230">
        <f t="shared" si="151"/>
        <v>50.2890625</v>
      </c>
      <c r="AT167" s="72">
        <f>AR167/(AVERAGE(AN167,AN166:AN168)*(AVERAGE(D$164,D$156,D$127,D$133,D$150,D$151,D$162,D$116,D$123))*AVERAGE(E$164,E$156,E$127,E$133,E$150,E$151,E$162,E$116,E$123)*0.0001)</f>
        <v>762.65927337456174</v>
      </c>
      <c r="AU167" s="147"/>
      <c r="AV167" s="143">
        <f>AR167/(AVERAGE(AN166:AN168)*AVERAGE(D$164,D$156,D$127,D$133,D$150,D$151,D$162,D$116,D$123)*0.01)</f>
        <v>593.53534250778955</v>
      </c>
      <c r="AW167" s="511">
        <f t="shared" si="157"/>
        <v>0.85416666666666663</v>
      </c>
      <c r="AX167" s="147"/>
      <c r="AY167" s="147"/>
      <c r="AZ167" s="147"/>
      <c r="BA167" s="147"/>
      <c r="BB167" s="147"/>
      <c r="BC167" s="145"/>
      <c r="BD167" s="64"/>
      <c r="BE167" s="147"/>
      <c r="BF167" s="213"/>
      <c r="BG167" s="149"/>
      <c r="BH167" s="147"/>
      <c r="BI167" s="147"/>
      <c r="BJ167" s="147"/>
      <c r="BK167" s="147"/>
      <c r="BL167" s="145"/>
      <c r="BM167" s="145"/>
      <c r="BN167" s="148"/>
      <c r="BO167" s="149"/>
      <c r="BP167" s="147"/>
      <c r="BQ167" s="147"/>
      <c r="BR167" s="147"/>
      <c r="BS167" s="147"/>
      <c r="BT167" s="147"/>
      <c r="BU167" s="148"/>
      <c r="BV167" s="149"/>
      <c r="BW167" s="147">
        <v>51</v>
      </c>
      <c r="BX167" s="72">
        <v>1465</v>
      </c>
      <c r="BY167" s="443">
        <f t="shared" si="140"/>
        <v>10</v>
      </c>
      <c r="BZ167" s="443">
        <f t="shared" si="141"/>
        <v>74.599999999999994</v>
      </c>
      <c r="CA167" s="72">
        <v>723</v>
      </c>
      <c r="CB167" s="199">
        <f t="shared" si="142"/>
        <v>63674.784375000003</v>
      </c>
      <c r="CC167" s="289">
        <f t="shared" si="152"/>
        <v>490.625</v>
      </c>
      <c r="CD167" s="289">
        <f t="shared" si="153"/>
        <v>20.442708333333332</v>
      </c>
      <c r="CE167" s="72">
        <f>CC167/((AVERAGE(BY167:BY168)*(AVERAGE(D$164,D$156,D$127,D$133,D$150,D$151,D$162,D$116,D$123))*AVERAGE(E$164,E$156,E$127,E$133,E$150,E$151,E$162,E$116,E$123)*0.0001))</f>
        <v>585.94553929996823</v>
      </c>
      <c r="CF167" s="147"/>
      <c r="CG167" s="72">
        <f>CC167/(AVERAGE(BY167:BY168)*AVERAGE((D$164,D$156,D$127,D$133,D$150,D$151,D$162,D$116,D$123))*0.01)</f>
        <v>456.00886070720418</v>
      </c>
      <c r="CH167" s="433">
        <f t="shared" si="143"/>
        <v>0.6576742627345844</v>
      </c>
      <c r="CI167" s="147"/>
      <c r="CJ167" s="147"/>
      <c r="CK167" s="147"/>
      <c r="CL167" s="147"/>
      <c r="CM167" s="147"/>
      <c r="CN167" s="110"/>
      <c r="CP167" t="s">
        <v>64</v>
      </c>
      <c r="CQ167" s="129">
        <f>MIN(AR136:AR168)</f>
        <v>60.346874999988358</v>
      </c>
      <c r="CR167" s="129">
        <f>MIN(AS136:AS168)</f>
        <v>2.5144531249995148</v>
      </c>
      <c r="CS167" s="129">
        <f>MIN(AT136:AT168)</f>
        <v>379.84294168365079</v>
      </c>
      <c r="CT167" s="129" t="e">
        <f>MIN(#REF!)</f>
        <v>#REF!</v>
      </c>
      <c r="CU167" s="129">
        <f>MIN(AU136:AU168)</f>
        <v>679.69046076885115</v>
      </c>
      <c r="CV167" s="129"/>
      <c r="CW167" s="129">
        <f>MIN(AV136:AV168)</f>
        <v>293.20076668561001</v>
      </c>
      <c r="CX167" s="129" t="e">
        <f>MIN(#REF!)</f>
        <v>#REF!</v>
      </c>
      <c r="CY167" s="129" t="e">
        <f>MIN(#REF!)</f>
        <v>#REF!</v>
      </c>
      <c r="CZ167" s="129"/>
      <c r="DA167" s="129">
        <f>MIN(CC136:CC168)</f>
        <v>49.47478991596639</v>
      </c>
      <c r="DB167" s="129">
        <f>MIN(CD136:CD168)</f>
        <v>2.0614495798319328</v>
      </c>
      <c r="DC167" s="129">
        <f>MIN(CE136:CE168)</f>
        <v>242.07142625000984</v>
      </c>
      <c r="DD167" s="129" t="e">
        <f>MIN(#REF!)</f>
        <v>#REF!</v>
      </c>
      <c r="DE167" s="129">
        <f>MIN(CF136:CF168)</f>
        <v>796.79858903752847</v>
      </c>
      <c r="DF167" s="129">
        <f>MIN(CG136:CG168)</f>
        <v>186.85493392238263</v>
      </c>
      <c r="DG167" s="129" t="e">
        <f>MIN(#REF!)</f>
        <v>#REF!</v>
      </c>
    </row>
    <row r="168" spans="1:111" ht="15.75" thickBot="1">
      <c r="A168" s="141">
        <f t="shared" si="146"/>
        <v>41323</v>
      </c>
      <c r="B168" s="307">
        <f>B167</f>
        <v>0.33333333333333331</v>
      </c>
      <c r="C168" s="304">
        <f t="shared" si="116"/>
        <v>24</v>
      </c>
      <c r="D168" s="97"/>
      <c r="E168" s="98"/>
      <c r="F168" s="98"/>
      <c r="G168" s="98"/>
      <c r="H168" s="98"/>
      <c r="I168" s="98"/>
      <c r="J168" s="157"/>
      <c r="K168" s="157"/>
      <c r="L168" s="99"/>
      <c r="M168" s="157"/>
      <c r="N168" s="98"/>
      <c r="O168" s="263"/>
      <c r="P168" s="706"/>
      <c r="Q168" s="707"/>
      <c r="R168" s="708"/>
      <c r="S168" s="157"/>
      <c r="T168" s="157"/>
      <c r="U168" s="157"/>
      <c r="V168" s="97"/>
      <c r="W168" s="98"/>
      <c r="X168" s="98"/>
      <c r="Y168" s="98"/>
      <c r="Z168" s="98"/>
      <c r="AA168" s="157"/>
      <c r="AB168" s="157"/>
      <c r="AC168" s="99"/>
      <c r="AD168" s="158"/>
      <c r="AE168" s="158"/>
      <c r="AF168" s="158"/>
      <c r="AG168" s="98"/>
      <c r="AH168" s="98"/>
      <c r="AI168" s="156"/>
      <c r="AJ168" s="99"/>
      <c r="AK168" s="97"/>
      <c r="AL168" s="98">
        <v>35.6</v>
      </c>
      <c r="AM168" s="72">
        <v>2565</v>
      </c>
      <c r="AN168" s="89">
        <f t="shared" si="155"/>
        <v>60.480000000000004</v>
      </c>
      <c r="AO168" s="488">
        <f t="shared" si="156"/>
        <v>23.363095238095237</v>
      </c>
      <c r="AP168" s="72">
        <v>1278</v>
      </c>
      <c r="AQ168" s="199">
        <f t="shared" si="134"/>
        <v>114765.03750000001</v>
      </c>
      <c r="AR168" s="76">
        <f t="shared" si="150"/>
        <v>1267.2843749999884</v>
      </c>
      <c r="AS168" s="230">
        <f t="shared" si="151"/>
        <v>52.803515624999513</v>
      </c>
      <c r="AT168" s="72">
        <f>AR168/(AVERAGE(AN168,AN167:AN169)*(AVERAGE(D$164,D$156,D$127,D$133,D$150,D$151,D$162,D$116,D$123))*AVERAGE(E$164,E$156,E$127,E$133,E$150,E$151,E$162,E$116,E$123)*0.0001)</f>
        <v>799.39469387217741</v>
      </c>
      <c r="AU168" s="214"/>
      <c r="AV168" s="143">
        <f>AR168/(AVERAGE(AN167:AN169)*AVERAGE(D$164,D$156,D$127,D$133,D$150,D$151,D$162,D$116,D$123)*0.01)</f>
        <v>621.76277914565424</v>
      </c>
      <c r="AW168" s="511">
        <f t="shared" si="157"/>
        <v>0.89687499999999176</v>
      </c>
      <c r="AX168" s="214"/>
      <c r="AY168" s="214"/>
      <c r="AZ168" s="214"/>
      <c r="BA168" s="214"/>
      <c r="BB168" s="214"/>
      <c r="BC168" s="215"/>
      <c r="BD168" s="64"/>
      <c r="BE168" s="147"/>
      <c r="BF168" s="157"/>
      <c r="BG168" s="216"/>
      <c r="BH168" s="214"/>
      <c r="BI168" s="214"/>
      <c r="BJ168" s="214"/>
      <c r="BK168" s="214"/>
      <c r="BL168" s="157"/>
      <c r="BM168" s="157"/>
      <c r="BN168" s="217"/>
      <c r="BO168" s="216"/>
      <c r="BP168" s="214"/>
      <c r="BQ168" s="214"/>
      <c r="BR168" s="214"/>
      <c r="BS168" s="214"/>
      <c r="BT168" s="214"/>
      <c r="BU168" s="217"/>
      <c r="BV168" s="158"/>
      <c r="BW168" s="98">
        <v>51</v>
      </c>
      <c r="BX168" s="72">
        <v>1492</v>
      </c>
      <c r="BY168" s="443">
        <f t="shared" si="140"/>
        <v>54</v>
      </c>
      <c r="BZ168" s="443">
        <f t="shared" si="141"/>
        <v>13.814814814814815</v>
      </c>
      <c r="CA168" s="81">
        <v>737</v>
      </c>
      <c r="CB168" s="199">
        <f t="shared" si="142"/>
        <v>64533.378125000003</v>
      </c>
      <c r="CC168" s="289">
        <f t="shared" si="152"/>
        <v>858.59375</v>
      </c>
      <c r="CD168" s="289">
        <f t="shared" si="153"/>
        <v>35.774739583333336</v>
      </c>
      <c r="CE168" s="72">
        <f>CC168/(BY168*(AVERAGE(D$164,D$156,D$127,D$133,D$150,D$151,D$162,D$116,D$123))*AVERAGE(E$164,E$156,E$127,E$133,E$150,E$151,E$162,E$116,E$123)*0.0001)</f>
        <v>607.64722594070781</v>
      </c>
      <c r="CF168" s="206"/>
      <c r="CG168" s="72">
        <f>CC168/(BY168*AVERAGE((D$164,D$156,D$127,D$133,D$150,D$151,D$162,D$116,D$123))*0.01)</f>
        <v>472.89807777043399</v>
      </c>
      <c r="CH168" s="433">
        <f t="shared" si="143"/>
        <v>1.1509299597855227</v>
      </c>
      <c r="CI168" s="206"/>
      <c r="CJ168" s="206"/>
      <c r="CK168" s="206"/>
      <c r="CL168" s="206"/>
      <c r="CM168" s="206"/>
      <c r="CN168" s="110"/>
      <c r="CP168" s="130" t="s">
        <v>69</v>
      </c>
      <c r="CQ168" s="129">
        <f>AVERAGE(AR136:AR168)</f>
        <v>796.72624427454798</v>
      </c>
      <c r="CR168" s="129">
        <f>AVERAGE(AS136:AS168)</f>
        <v>33.196926844772833</v>
      </c>
      <c r="CS168" s="129">
        <f>AVERAGE(AT136:AT168)</f>
        <v>727.15751048060849</v>
      </c>
      <c r="CT168" s="129" t="e">
        <f>AVERAGE(#REF!)</f>
        <v>#REF!</v>
      </c>
      <c r="CU168" s="129">
        <f>AVERAGE(AU136:AU168)</f>
        <v>720.48346120988231</v>
      </c>
      <c r="CV168" s="129"/>
      <c r="CW168" s="129">
        <f>AVERAGE(AV136:AV168)</f>
        <v>547.04591672445952</v>
      </c>
      <c r="CX168" s="129" t="e">
        <f>AVERAGE(#REF!)</f>
        <v>#REF!</v>
      </c>
      <c r="CY168" s="129" t="e">
        <f>AVERAGE(#REF!)</f>
        <v>#REF!</v>
      </c>
      <c r="CZ168" s="130"/>
      <c r="DA168" s="129">
        <f>AVERAGE(CC136:CC168)</f>
        <v>555.97837688642619</v>
      </c>
      <c r="DB168" s="129">
        <f>AVERAGE(CD136:CD168)</f>
        <v>23.165765703601096</v>
      </c>
      <c r="DC168" s="129">
        <f>AVERAGE(CE136:CE168)</f>
        <v>667.54412001080516</v>
      </c>
      <c r="DD168" s="129" t="e">
        <f>AVERAGE(#REF!)</f>
        <v>#REF!</v>
      </c>
      <c r="DE168" s="129">
        <f>AVERAGE(CF136:CF168)</f>
        <v>1033.1028825058713</v>
      </c>
      <c r="DF168" s="129">
        <f>AVERAGE(CG136:CG168)</f>
        <v>564.12465300978772</v>
      </c>
      <c r="DG168" s="129" t="e">
        <f>AVERAGE(#REF!)</f>
        <v>#REF!</v>
      </c>
    </row>
    <row r="169" spans="1:111" s="337" customFormat="1" ht="15.75" thickBot="1">
      <c r="A169" s="309">
        <f t="shared" si="146"/>
        <v>41324</v>
      </c>
      <c r="B169" s="561">
        <v>0.3263888888888889</v>
      </c>
      <c r="C169" s="311">
        <f t="shared" si="116"/>
        <v>23.833333333333336</v>
      </c>
      <c r="D169" s="573">
        <v>4.09</v>
      </c>
      <c r="E169" s="572">
        <v>79.7</v>
      </c>
      <c r="F169" s="563"/>
      <c r="G169" s="572">
        <v>5.68</v>
      </c>
      <c r="H169" s="563"/>
      <c r="I169" s="563"/>
      <c r="J169" s="564"/>
      <c r="K169" s="564"/>
      <c r="L169" s="565"/>
      <c r="M169" s="564"/>
      <c r="N169" s="563"/>
      <c r="O169" s="566"/>
      <c r="P169" s="709"/>
      <c r="Q169" s="710"/>
      <c r="R169" s="711"/>
      <c r="S169" s="567"/>
      <c r="T169" s="534"/>
      <c r="U169" s="541"/>
      <c r="V169" s="573">
        <v>2.2000000000000002</v>
      </c>
      <c r="W169" s="572">
        <v>67.959999999999994</v>
      </c>
      <c r="X169" s="563"/>
      <c r="Y169" s="563"/>
      <c r="Z169" s="563"/>
      <c r="AA169" s="564"/>
      <c r="AB169" s="564"/>
      <c r="AC169" s="565"/>
      <c r="AD169" s="391">
        <f>D162*(100-E162)/(100-W169)</f>
        <v>2.2145131086142311</v>
      </c>
      <c r="AE169" s="387">
        <f>D162-V169</f>
        <v>1.3299999999999996</v>
      </c>
      <c r="AF169" s="393">
        <f>100*(AVERAGE(D164,D116,D123,D106,D162,D156,D151,D127,D133,D150)-V169)/AVERAGE(D164,D116,D123,D106,D162,D156,D151,D127,D133,D150)</f>
        <v>33.252427184466029</v>
      </c>
      <c r="AG169" s="393">
        <f>100*(1-((100-AVERAGE(E164,E116,E123,E106,E162,E156,E151,E127,E133,E150))/(100-W169)))</f>
        <v>30.530586766541802</v>
      </c>
      <c r="AH169" s="387">
        <f>E162-W169</f>
        <v>11.940000000000012</v>
      </c>
      <c r="AI169" s="393">
        <f>100*(1-((V169*W169)/(AVERAGE(D164,D116,D123,D106,D162,D156,D151,D127,D133,D150)*AVERAGE(E164,E116,E123,E106,E162,E156,E151,E127,E133,E150))))</f>
        <v>41.651037424510704</v>
      </c>
      <c r="AJ169" s="389">
        <f>100*100*((AVERAGE(E164,E116,E123,E106,E162,E156,E151,E127,E133,E150)-W169)/((100-W169)*AVERAGE(E164,E116,E123,E106,E162,E156,E151,E127,E133,E150)))</f>
        <v>39.271676528185289</v>
      </c>
      <c r="AK169" s="562">
        <v>7.17</v>
      </c>
      <c r="AL169" s="470">
        <v>33.799999999999997</v>
      </c>
      <c r="AM169" s="313">
        <v>2593</v>
      </c>
      <c r="AN169" s="89">
        <f t="shared" si="155"/>
        <v>60.902937062937056</v>
      </c>
      <c r="AO169" s="488">
        <f t="shared" si="156"/>
        <v>23.200851521164022</v>
      </c>
      <c r="AP169" s="313">
        <v>1300</v>
      </c>
      <c r="AQ169" s="493">
        <f t="shared" si="134"/>
        <v>116092.66875000001</v>
      </c>
      <c r="AR169" s="76">
        <f t="shared" si="150"/>
        <v>1336.9153846153904</v>
      </c>
      <c r="AS169" s="230">
        <f t="shared" si="151"/>
        <v>55.704807692307931</v>
      </c>
      <c r="AT169" s="72">
        <f>AR169/(AVERAGE(AN169,AN168:AN170)*(AVERAGE(D$164,D$156,D$127,D$133,D$150,D$151,D$162,D$116,D$123))*AVERAGE(E$164,E$156,E$127,E$133,E$150,E$151,E$162,E$116,E$123)*0.0001)</f>
        <v>843.29717962458676</v>
      </c>
      <c r="AU169" s="313">
        <f>(AQ169-AQ140)/(AVERAGE(AN140:AN169)*((AVERAGE(D150,D135,D133,D156,,D151,D162,D164)*AVERAGE(E150,E135,E133,E156,E151,E162,E164))-(V169*W169))*0.0001*(SUM(C140:C169)/24))</f>
        <v>1626.235300048683</v>
      </c>
      <c r="AV169" s="143">
        <f>AR169/(AVERAGE(AN168:AN170)*AVERAGE(D$164,D$156,D$127,D$133,D$150,D$151,D$162,D$116,D$123)*0.01)</f>
        <v>657.43339560108848</v>
      </c>
      <c r="AW169" s="511">
        <f t="shared" si="157"/>
        <v>0.94615384615385023</v>
      </c>
      <c r="AX169" s="319">
        <v>67.599999999999994</v>
      </c>
      <c r="AY169" s="319">
        <v>31</v>
      </c>
      <c r="AZ169" s="319">
        <v>0</v>
      </c>
      <c r="BA169" s="319">
        <v>98</v>
      </c>
      <c r="BB169" s="319">
        <v>115</v>
      </c>
      <c r="BC169" s="320"/>
      <c r="BD169" s="368"/>
      <c r="BE169" s="330"/>
      <c r="BF169" s="541"/>
      <c r="BG169" s="339">
        <v>2.2599999999999998</v>
      </c>
      <c r="BH169" s="365">
        <v>65.06</v>
      </c>
      <c r="BI169" s="319"/>
      <c r="BJ169" s="319"/>
      <c r="BK169" s="319"/>
      <c r="BL169" s="564"/>
      <c r="BM169" s="564"/>
      <c r="BN169" s="320"/>
      <c r="BO169" s="376">
        <f>D162*(100-E162)/(100-BH169)</f>
        <v>2.0307097882083567</v>
      </c>
      <c r="BP169" s="372">
        <f>D162-BG169</f>
        <v>1.27</v>
      </c>
      <c r="BQ169" s="374">
        <f>100*(AVERAGE(D164,D116,D123,D106,D162,D156,D151,D127,D133,D150)-BG169)/AVERAGE(D164,D116,D123,D106,D162,D156,D151,D127,D133,D150)</f>
        <v>31.432038834951477</v>
      </c>
      <c r="BR169" s="367">
        <f>100*(1-((100-AVERAGE(E164,E116,E123,E106,E162,E156,E151,E127,E133,E150))/(100-BH169)))</f>
        <v>36.29650829994273</v>
      </c>
      <c r="BS169" s="375">
        <f>E162-BH169</f>
        <v>14.840000000000003</v>
      </c>
      <c r="BT169" s="312">
        <f>100*(1-((BG169*BH169)/(AVERAGE(D164,D116,D123,D106,D162,D156,D151,D127,D133,D150)*AVERAGE(E164,E116,E123,E106,E162,E156,E151,E127,E133,E150))))</f>
        <v>42.617484070411649</v>
      </c>
      <c r="BU169" s="412">
        <f>100*100*((AVERAGE(E164,E116,E123,E106,E162,E156,E151,E127,E133,E150)-BH169)/((100-BH169)*AVERAGE(E164,E116,E123,E106,E162,E156,E151,E127,E133,E150)))</f>
        <v>46.688415914103999</v>
      </c>
      <c r="BV169" s="562">
        <v>7.26</v>
      </c>
      <c r="BW169" s="365">
        <v>48.2</v>
      </c>
      <c r="BX169" s="72">
        <v>1508</v>
      </c>
      <c r="BY169" s="443">
        <f t="shared" si="140"/>
        <v>32.22377622377622</v>
      </c>
      <c r="BZ169" s="462">
        <f t="shared" si="141"/>
        <v>23.150607638888893</v>
      </c>
      <c r="CA169" s="568">
        <v>749</v>
      </c>
      <c r="CB169" s="569">
        <f t="shared" si="142"/>
        <v>65269.315625000003</v>
      </c>
      <c r="CC169" s="334">
        <f t="shared" si="152"/>
        <v>741.08391608391594</v>
      </c>
      <c r="CD169" s="334">
        <f t="shared" si="153"/>
        <v>30.8784965034965</v>
      </c>
      <c r="CE169" s="72">
        <f>CC169/(BY169*(AVERAGE(D$164,D$156,D$127,D$133,D$150,D$151,D$162,D$116,D$123))*AVERAGE(E$164,E$156,E$127,E$133,E$150,E$151,E$162,E$116,E$123)*0.0001)</f>
        <v>878.91830894995235</v>
      </c>
      <c r="CF169" s="313">
        <f>(CB169-CB140)/(AVERAGE(BY140:BY169)*((AVERAGE(D150,D133,D135,D151,D156,D162,D164)*AVERAGE(E150,E133,E156,E135,E151,E162,E164))-(BG169*BH169))*0.0001*(SUM(C140:C169)/24))</f>
        <v>1225.1166853773109</v>
      </c>
      <c r="CG169" s="72">
        <f>CC169/(BY169*AVERAGE((D$164,D$156,D$127,D$133,D$150,D$151,D$162,D$116,D$123))*0.01)</f>
        <v>684.01329106080618</v>
      </c>
      <c r="CH169" s="433">
        <f t="shared" si="143"/>
        <v>0.99341007517951196</v>
      </c>
      <c r="CI169" s="563">
        <v>66.900000000000006</v>
      </c>
      <c r="CJ169" s="563">
        <v>31.2</v>
      </c>
      <c r="CK169" s="563">
        <v>0</v>
      </c>
      <c r="CL169" s="563">
        <v>155</v>
      </c>
      <c r="CM169" s="563">
        <v>250</v>
      </c>
      <c r="CN169" s="570"/>
      <c r="CP169" s="337" t="s">
        <v>66</v>
      </c>
      <c r="CQ169" s="571">
        <f>MAX(AR136:AR168)</f>
        <v>1387.9781250000087</v>
      </c>
      <c r="CR169" s="571">
        <f>MAX(AS136:AS168)</f>
        <v>57.832421875000364</v>
      </c>
      <c r="CS169" s="571">
        <f>MAX(AT136:AT168)</f>
        <v>1139.528825050988</v>
      </c>
      <c r="CT169" s="571" t="e">
        <f>MAX(#REF!)</f>
        <v>#REF!</v>
      </c>
      <c r="CU169" s="571">
        <f>MAX(AU136:AU168)</f>
        <v>776.0576606870502</v>
      </c>
      <c r="CV169" s="571"/>
      <c r="CW169" s="571">
        <f>MAX(AV136:AV168)</f>
        <v>879.60230005685753</v>
      </c>
      <c r="CX169" s="571" t="e">
        <f>MAX(#REF!)</f>
        <v>#REF!</v>
      </c>
      <c r="CY169" s="571" t="e">
        <f>MAX(#REF!)</f>
        <v>#REF!</v>
      </c>
      <c r="CZ169" s="571"/>
      <c r="DA169" s="571">
        <f>MAX(CC136:CC168)</f>
        <v>1717.1875</v>
      </c>
      <c r="DB169" s="571">
        <f>MAX(CD136:CD168)</f>
        <v>71.549479166666671</v>
      </c>
      <c r="DC169" s="571">
        <f>MAX(CE136:CE168)</f>
        <v>926.44619922843265</v>
      </c>
      <c r="DD169" s="571" t="e">
        <f>MAX(#REF!)</f>
        <v>#REF!</v>
      </c>
      <c r="DE169" s="571">
        <f>MAX(CF136:CF168)</f>
        <v>1165.1527934336557</v>
      </c>
      <c r="DF169" s="571">
        <f>MAX(CG136:CG168)</f>
        <v>831.00440379403767</v>
      </c>
      <c r="DG169" s="571" t="e">
        <f>MAX(#REF!)</f>
        <v>#REF!</v>
      </c>
    </row>
    <row r="170" spans="1:111" s="337" customFormat="1" ht="15">
      <c r="A170" s="309">
        <f t="shared" si="146"/>
        <v>41325</v>
      </c>
      <c r="B170" s="310">
        <v>0.33333333333333331</v>
      </c>
      <c r="C170" s="304">
        <f t="shared" si="116"/>
        <v>24.166666666666664</v>
      </c>
      <c r="D170" s="318">
        <v>4.0999999999999996</v>
      </c>
      <c r="E170" s="319">
        <v>78.7</v>
      </c>
      <c r="F170" s="313">
        <v>52000</v>
      </c>
      <c r="G170" s="319"/>
      <c r="H170" s="319"/>
      <c r="I170" s="313">
        <v>5002</v>
      </c>
      <c r="J170" s="317"/>
      <c r="K170" s="317"/>
      <c r="L170" s="320"/>
      <c r="M170" s="317"/>
      <c r="N170" s="319"/>
      <c r="O170" s="316"/>
      <c r="P170" s="706"/>
      <c r="Q170" s="707"/>
      <c r="R170" s="712"/>
      <c r="S170" s="317"/>
      <c r="T170" s="317"/>
      <c r="U170" s="541"/>
      <c r="V170" s="318">
        <v>2.2999999999999998</v>
      </c>
      <c r="W170" s="319">
        <v>66.2</v>
      </c>
      <c r="X170" s="348">
        <v>30100</v>
      </c>
      <c r="Y170" s="319"/>
      <c r="Z170" s="348">
        <v>1451</v>
      </c>
      <c r="AA170" s="317"/>
      <c r="AB170" s="317"/>
      <c r="AC170" s="320"/>
      <c r="AD170" s="391">
        <f>D164*(100-E164)/(100-W170)</f>
        <v>2.4230769230769238</v>
      </c>
      <c r="AE170" s="387">
        <f>D164-V170</f>
        <v>1.2000000000000002</v>
      </c>
      <c r="AF170" s="393">
        <f>100*(AVERAGE(D164,D116,D123,D169,D162,D156,D151,D127,D133,D150)-V170)/AVERAGE(D164,D116,D123,D169,D162,D156,D151,D127,D133,D150)</f>
        <v>33.042212518195072</v>
      </c>
      <c r="AG170" s="393">
        <f>100*(1-((100-AVERAGE(E164,E116,E123,E169,E162,E156,E151,E127,E133,E150))/(100-W170)))</f>
        <v>34.946745562130133</v>
      </c>
      <c r="AH170" s="387">
        <f>E164-W170</f>
        <v>10.399999999999991</v>
      </c>
      <c r="AI170" s="393">
        <f>100*(1-((V170*W170)/(AVERAGE(D164,D116,D123,D169,D162,D156,D151,D127,D133,D150)*AVERAGE(E164,E116,E123,E69,E162,E156,E151,E127,E133,E150))))</f>
        <v>43.043531335970734</v>
      </c>
      <c r="AJ170" s="389">
        <f>100*100*((AVERAGE(E164,E116,E123,E169,E162,E156,E151,E127,E133,E150)-W170)/((100-W170)*AVERAGE(E164,E116,E123,E169,E162,E156,E151,E127,E133,E150)))</f>
        <v>44.796628162500816</v>
      </c>
      <c r="AK170" s="318"/>
      <c r="AL170" s="319">
        <v>35.6</v>
      </c>
      <c r="AM170" s="313">
        <v>2621</v>
      </c>
      <c r="AN170" s="89">
        <f t="shared" si="155"/>
        <v>60.062896551724144</v>
      </c>
      <c r="AO170" s="488">
        <f t="shared" si="156"/>
        <v>23.525338955026452</v>
      </c>
      <c r="AP170" s="313">
        <v>1332</v>
      </c>
      <c r="AQ170" s="493">
        <f t="shared" si="134"/>
        <v>118023.76875000002</v>
      </c>
      <c r="AR170" s="585">
        <f t="shared" ref="AR170:AR178" si="158">(AQ170-AQ169)/(C170/24)</f>
        <v>1917.782068965523</v>
      </c>
      <c r="AS170" s="230"/>
      <c r="AT170" s="72">
        <f>AR170/(AVERAGE(AN170,AN169:AN171)*(AVERAGE(D$164,D$156,D$127,D$133,D$150,D$151,D$162,D$169,D$123))*AVERAGE(E$164,E$156,E$127,E$133,E$150,E$151,E$162,E$169,E$123)*0.0001)</f>
        <v>1160.650523049675</v>
      </c>
      <c r="AU170" s="313">
        <f>(AQ170-AQ141)/(AVERAGE(AN141:AN170)*((AVERAGE(D150,D135,D169,D156,D151,D162,D164)*AVERAGE(E150,E135,E169,E156,E151,E162,E164))-(V170*W170))*0.0001*(SUM(C141:C170)/24))</f>
        <v>1146.112307490899</v>
      </c>
      <c r="AV170" s="143">
        <f>AR170/(AVERAGE(AN169:AN171)*AVERAGE(D$164,D$156,D$127,D$133,D$150,D$151,D$162,D$169,D$123)*0.01)</f>
        <v>900.52086192422144</v>
      </c>
      <c r="AW170" s="511"/>
      <c r="AX170" s="319"/>
      <c r="AY170" s="319"/>
      <c r="AZ170" s="319"/>
      <c r="BA170" s="319"/>
      <c r="BB170" s="319"/>
      <c r="BC170" s="320"/>
      <c r="BD170" s="368"/>
      <c r="BE170" s="330"/>
      <c r="BF170" s="541"/>
      <c r="BG170" s="318">
        <v>2.4</v>
      </c>
      <c r="BH170" s="319">
        <v>65.400000000000006</v>
      </c>
      <c r="BI170" s="348">
        <v>27000</v>
      </c>
      <c r="BJ170" s="348"/>
      <c r="BK170" s="348">
        <v>2489</v>
      </c>
      <c r="BL170" s="317"/>
      <c r="BM170" s="317"/>
      <c r="BN170" s="320"/>
      <c r="BO170" s="376">
        <f>D164*(100-E164)/(100-BH170)</f>
        <v>2.3670520231213881</v>
      </c>
      <c r="BP170" s="372">
        <f>D164-BG170</f>
        <v>1.1000000000000001</v>
      </c>
      <c r="BQ170" s="374">
        <f>100*(AVERAGE(D164,D116,D123,D169,D162,D156,D151,D127,D133,D150)-BG170)/AVERAGE(D164,D116,D123,D169,D162,D156,D151,D127,D133,D150)</f>
        <v>30.131004366812249</v>
      </c>
      <c r="BR170" s="367">
        <f>100*(1-((100-AVERAGE(E164,E116,E123,E169,E162,E156,E151,E127,E133,E150))/(100-BH170)))</f>
        <v>36.450867052023071</v>
      </c>
      <c r="BS170" s="375">
        <f>E164-BH170</f>
        <v>11.199999999999989</v>
      </c>
      <c r="BT170" s="312">
        <f>100*(1-((BG170*BH170)/(AVERAGE(D164,D116,D123,D169,D162,D156,D151,D127,D133,D150)*AVERAGE(E164,E116,E123,E169,E162,E156,E151,E127,E133,E150))))</f>
        <v>41.426545731291597</v>
      </c>
      <c r="BU170" s="412">
        <f>100*100*((AVERAGE(E164,E116,E123,E169,E162,E156,E151,E127,E133,E150)-BH170)/((100-BH170)*AVERAGE(E164,E116,E123,E169,E162,E156,E151,E127,E133,E150)))</f>
        <v>46.724692421708298</v>
      </c>
      <c r="BV170" s="318"/>
      <c r="BW170" s="319">
        <v>51</v>
      </c>
      <c r="BX170" s="72">
        <v>1525</v>
      </c>
      <c r="BY170" s="443">
        <f t="shared" si="140"/>
        <v>33.765517241379314</v>
      </c>
      <c r="BZ170" s="443">
        <f t="shared" si="141"/>
        <v>22.093545751633986</v>
      </c>
      <c r="CA170" s="313">
        <v>762</v>
      </c>
      <c r="CB170" s="493">
        <f t="shared" si="142"/>
        <v>66066.581250000003</v>
      </c>
      <c r="CC170" s="289">
        <f>(CB170-CB169)/((C170/24))</f>
        <v>791.76724137931035</v>
      </c>
      <c r="CD170" s="289">
        <f>(CB170-CB169)/(C170)</f>
        <v>32.990301724137936</v>
      </c>
      <c r="CE170" s="72">
        <f>CC170/(BY170*(AVERAGE(D$164,D$156,D$127,D$133,D$150,D$151,D$162,D$169,D$123))*AVERAGE(E$164,E$156,E$127,E$133,E$150,E$151,E$162,E$169,E$123)*0.0001)</f>
        <v>856.83891623334011</v>
      </c>
      <c r="CF170" s="313">
        <f>(CB170-CB141)/(AVERAGE(BY141:BY170)*((AVERAGE(D150,D133,D135,D151,D156,D162,D164)*AVERAGE(E150,E133,E156,E135,E151,E162,E164))-(BG170*BH170))*0.0001*(SUM(C141:C170)/24))</f>
        <v>1365.4855552169286</v>
      </c>
      <c r="CG170" s="72">
        <f>CC170/(BY170*AVERAGE((D$164,D$156,D$127,D$133,D$150,D$151,D$162,D$169,D$123))*0.01)</f>
        <v>665.95424656135719</v>
      </c>
      <c r="CH170" s="433">
        <f t="shared" si="143"/>
        <v>1.0613501895165018</v>
      </c>
      <c r="CI170" s="319"/>
      <c r="CJ170" s="319"/>
      <c r="CK170" s="319"/>
      <c r="CL170" s="319"/>
      <c r="CM170" s="319"/>
      <c r="CN170" s="570"/>
    </row>
    <row r="171" spans="1:111" ht="15">
      <c r="A171" s="141">
        <f t="shared" si="146"/>
        <v>41326</v>
      </c>
      <c r="B171" s="307">
        <v>0.33333333333333331</v>
      </c>
      <c r="C171" s="304">
        <f t="shared" si="116"/>
        <v>24</v>
      </c>
      <c r="D171" s="65"/>
      <c r="E171" s="66"/>
      <c r="F171" s="66"/>
      <c r="G171" s="66"/>
      <c r="H171" s="66"/>
      <c r="I171" s="66"/>
      <c r="J171" s="86"/>
      <c r="K171" s="86"/>
      <c r="L171" s="63"/>
      <c r="M171" s="86"/>
      <c r="N171" s="66"/>
      <c r="O171" s="261"/>
      <c r="P171" s="713"/>
      <c r="Q171" s="700"/>
      <c r="R171" s="714"/>
      <c r="S171" s="86"/>
      <c r="T171" s="86"/>
      <c r="U171" s="86"/>
      <c r="V171" s="65"/>
      <c r="W171" s="66"/>
      <c r="X171" s="66"/>
      <c r="Y171" s="66"/>
      <c r="Z171" s="66"/>
      <c r="AA171" s="86"/>
      <c r="AB171" s="86"/>
      <c r="AC171" s="63"/>
      <c r="AD171" s="87"/>
      <c r="AE171" s="87"/>
      <c r="AF171" s="87"/>
      <c r="AG171" s="66"/>
      <c r="AH171" s="66"/>
      <c r="AI171" s="64"/>
      <c r="AJ171" s="63"/>
      <c r="AK171" s="65"/>
      <c r="AL171" s="66">
        <v>35.6</v>
      </c>
      <c r="AM171" s="72">
        <v>2649</v>
      </c>
      <c r="AN171" s="89">
        <f t="shared" si="155"/>
        <v>60.480000000000004</v>
      </c>
      <c r="AO171" s="488">
        <f t="shared" si="156"/>
        <v>23.363095238095237</v>
      </c>
      <c r="AP171" s="72">
        <v>1344</v>
      </c>
      <c r="AQ171" s="199">
        <f t="shared" si="134"/>
        <v>118747.93125000001</v>
      </c>
      <c r="AR171" s="585">
        <f t="shared" si="158"/>
        <v>724.16249999999127</v>
      </c>
      <c r="AS171" s="230">
        <f>110/2</f>
        <v>55</v>
      </c>
      <c r="AT171" s="72">
        <f t="shared" ref="AT171:AT178" si="159">AR171/(AVERAGE(AN171,AN170:AN172)*(AVERAGE(D$164,D$156,D$127,D$133,D$150,D$151,D$162,D$169,D$170))*AVERAGE(E$164,E$156,E$127,E$133,E$150,E$151,E$162,E$169,E$170)*0.0001)</f>
        <v>434.85233012055863</v>
      </c>
      <c r="AU171" s="66"/>
      <c r="AV171" s="143">
        <f>AR171/(AVERAGE(AN170:AN172)*AVERAGE(D$164,D$156,D$127,D$133,D$150,D$151,D$162,D$169,D$170)*0.01)</f>
        <v>341.26564601149636</v>
      </c>
      <c r="AW171" s="511">
        <f t="shared" si="157"/>
        <v>0.51249999999999385</v>
      </c>
      <c r="AX171" s="66"/>
      <c r="AY171" s="66"/>
      <c r="AZ171" s="66"/>
      <c r="BA171" s="66"/>
      <c r="BB171" s="66"/>
      <c r="BC171" s="63"/>
      <c r="BD171" s="64"/>
      <c r="BE171" s="147"/>
      <c r="BF171" s="86"/>
      <c r="BG171" s="65"/>
      <c r="BH171" s="66"/>
      <c r="BI171" s="66"/>
      <c r="BJ171" s="66"/>
      <c r="BK171" s="66"/>
      <c r="BL171" s="86"/>
      <c r="BM171" s="86"/>
      <c r="BN171" s="63"/>
      <c r="BO171" s="87"/>
      <c r="BP171" s="87"/>
      <c r="BQ171" s="87"/>
      <c r="BR171" s="66"/>
      <c r="BS171" s="64"/>
      <c r="BT171" s="66"/>
      <c r="BU171" s="67"/>
      <c r="BV171" s="65"/>
      <c r="BW171" s="66">
        <v>51</v>
      </c>
      <c r="BX171" s="72">
        <v>1541</v>
      </c>
      <c r="BY171" s="443">
        <f t="shared" si="140"/>
        <v>32</v>
      </c>
      <c r="BZ171" s="443">
        <f t="shared" si="141"/>
        <v>23.3125</v>
      </c>
      <c r="CA171" s="72">
        <v>773</v>
      </c>
      <c r="CB171" s="199">
        <f t="shared" si="142"/>
        <v>66741.190625000003</v>
      </c>
      <c r="CC171" s="289">
        <f t="shared" ref="CC171:CC178" si="160">(CB171-CB170)/((C171/24))</f>
        <v>674.609375</v>
      </c>
      <c r="CD171" s="289">
        <f t="shared" ref="CD171:CD178" si="161">(CB171-CB170)/(C171)</f>
        <v>28.108723958333332</v>
      </c>
      <c r="CE171" s="72">
        <f>CC171/(BY171*(AVERAGE(D$164,D$156,D$127,D$133,D$150,D$151,D$162,D$169,D$170))*AVERAGE(E$164,E$156,E$127,E$133,E$150,E$151,E$162,E$169,E$170)*0.0001)</f>
        <v>764.311715481698</v>
      </c>
      <c r="CF171" s="66"/>
      <c r="CG171" s="72">
        <f>CC171/(BY171*AVERAGE((D$164,D$156,D$127,D$133,D$150,D$151,D$162,D$169,D$170))*0.01)</f>
        <v>599.47515550947867</v>
      </c>
      <c r="CH171" s="433">
        <f t="shared" si="143"/>
        <v>0.90430211126005366</v>
      </c>
      <c r="CI171" s="66"/>
      <c r="CJ171" s="66"/>
      <c r="CK171" s="66"/>
      <c r="CL171" s="66"/>
      <c r="CM171" s="66"/>
      <c r="CN171" s="110"/>
    </row>
    <row r="172" spans="1:111" ht="15">
      <c r="A172" s="141">
        <f t="shared" si="146"/>
        <v>41327</v>
      </c>
      <c r="B172" s="307">
        <v>0.83333333333333337</v>
      </c>
      <c r="C172" s="304">
        <f t="shared" si="116"/>
        <v>36</v>
      </c>
      <c r="D172" s="65"/>
      <c r="E172" s="66"/>
      <c r="F172" s="66"/>
      <c r="G172" s="66"/>
      <c r="H172" s="66"/>
      <c r="I172" s="66"/>
      <c r="J172" s="86"/>
      <c r="K172" s="86"/>
      <c r="L172" s="63"/>
      <c r="M172" s="86"/>
      <c r="N172" s="66"/>
      <c r="O172" s="261"/>
      <c r="P172" s="713"/>
      <c r="Q172" s="700"/>
      <c r="R172" s="714"/>
      <c r="S172" s="86"/>
      <c r="T172" s="86"/>
      <c r="U172" s="86"/>
      <c r="V172" s="65"/>
      <c r="W172" s="66"/>
      <c r="X172" s="66"/>
      <c r="Y172" s="66"/>
      <c r="Z172" s="66"/>
      <c r="AA172" s="86"/>
      <c r="AB172" s="86"/>
      <c r="AC172" s="63"/>
      <c r="AD172" s="87"/>
      <c r="AE172" s="87"/>
      <c r="AF172" s="87"/>
      <c r="AG172" s="66"/>
      <c r="AH172" s="66"/>
      <c r="AI172" s="64"/>
      <c r="AJ172" s="63"/>
      <c r="AK172" s="65"/>
      <c r="AL172" s="66">
        <v>35.700000000000003</v>
      </c>
      <c r="AM172" s="72">
        <v>2691</v>
      </c>
      <c r="AN172" s="89">
        <f t="shared" si="155"/>
        <v>60.48</v>
      </c>
      <c r="AO172" s="488">
        <f t="shared" si="156"/>
        <v>23.363095238095241</v>
      </c>
      <c r="AP172" s="72">
        <v>1376</v>
      </c>
      <c r="AQ172" s="199">
        <f t="shared" si="134"/>
        <v>120679.03125000001</v>
      </c>
      <c r="AR172" s="76">
        <f t="shared" si="158"/>
        <v>1287.400000000004</v>
      </c>
      <c r="AS172" s="230">
        <f t="shared" ref="AS172:AS178" si="162">(AQ172-AQ171)/C172</f>
        <v>53.641666666666829</v>
      </c>
      <c r="AT172" s="72">
        <f t="shared" si="159"/>
        <v>752.54046749245674</v>
      </c>
      <c r="AU172" s="66"/>
      <c r="AV172" s="143">
        <f t="shared" ref="AV172:AV178" si="163">AR172/(AVERAGE(AN171:AN173)*AVERAGE(D$164,D$156,D$127,D$133,D$150,D$151,D$162,D$169,D$170)*0.01)</f>
        <v>585.38860480585527</v>
      </c>
      <c r="AW172" s="511">
        <f t="shared" si="157"/>
        <v>0.91111111111111387</v>
      </c>
      <c r="AX172" s="66"/>
      <c r="AY172" s="66"/>
      <c r="AZ172" s="66"/>
      <c r="BA172" s="66"/>
      <c r="BB172" s="66"/>
      <c r="BC172" s="63"/>
      <c r="BD172" s="64"/>
      <c r="BE172" s="147"/>
      <c r="BF172" s="86"/>
      <c r="BG172" s="65"/>
      <c r="BH172" s="66"/>
      <c r="BI172" s="66"/>
      <c r="BJ172" s="66"/>
      <c r="BK172" s="66"/>
      <c r="BL172" s="86"/>
      <c r="BM172" s="86"/>
      <c r="BN172" s="63"/>
      <c r="BO172" s="87"/>
      <c r="BP172" s="87"/>
      <c r="BQ172" s="87"/>
      <c r="BR172" s="66"/>
      <c r="BS172" s="64"/>
      <c r="BT172" s="66"/>
      <c r="BU172" s="67"/>
      <c r="BV172" s="65"/>
      <c r="BW172" s="66">
        <v>51</v>
      </c>
      <c r="BX172" s="72">
        <v>1543</v>
      </c>
      <c r="BY172" s="435">
        <f t="shared" si="140"/>
        <v>2.6666666666666665</v>
      </c>
      <c r="BZ172" s="435">
        <f t="shared" si="141"/>
        <v>279.75</v>
      </c>
      <c r="CA172" s="72">
        <v>784</v>
      </c>
      <c r="CB172" s="199">
        <f t="shared" si="142"/>
        <v>67415.8</v>
      </c>
      <c r="CC172" s="289">
        <f t="shared" si="160"/>
        <v>449.73958333333331</v>
      </c>
      <c r="CD172" s="289">
        <f t="shared" si="161"/>
        <v>18.739149305555557</v>
      </c>
      <c r="CE172" s="346">
        <f>CC172/(AVERAGE(BY172,BY173)*(AVERAGE(D$164,D$156,D$127,D$133,D$150,D$151,D$162,D$169,D$170))*AVERAGE(E$164,E$156,E$127,E$133,E$150,E$151,E$162,E$169,E$170)*0.0001)</f>
        <v>400.01360810257086</v>
      </c>
      <c r="CF172" s="66"/>
      <c r="CG172" s="72">
        <f>CC172/(AVERAGE(BY172,BY173)*AVERAGE((D$164,D$156,D$127,D$133,D$150,D$151,D$162,D$169,D$170))*0.01)</f>
        <v>313.74400662178317</v>
      </c>
      <c r="CH172" s="433">
        <f t="shared" si="143"/>
        <v>0.60286807417336907</v>
      </c>
      <c r="CI172" s="66"/>
      <c r="CJ172" s="66"/>
      <c r="CK172" s="66"/>
      <c r="CL172" s="66"/>
      <c r="CM172" s="66"/>
      <c r="CN172" s="110"/>
    </row>
    <row r="173" spans="1:111" s="69" customFormat="1">
      <c r="A173" s="141">
        <f t="shared" si="146"/>
        <v>41328</v>
      </c>
      <c r="B173" s="307">
        <v>0.41666666666666669</v>
      </c>
      <c r="C173" s="304">
        <f t="shared" si="116"/>
        <v>13.999999999999998</v>
      </c>
      <c r="D173" s="65"/>
      <c r="E173" s="66"/>
      <c r="F173" s="183"/>
      <c r="G173" s="66"/>
      <c r="H173" s="66"/>
      <c r="I173" s="66"/>
      <c r="J173" s="86"/>
      <c r="K173" s="86"/>
      <c r="L173" s="63"/>
      <c r="M173" s="86"/>
      <c r="N173" s="66"/>
      <c r="O173" s="261"/>
      <c r="P173" s="702"/>
      <c r="Q173" s="542"/>
      <c r="R173" s="424"/>
      <c r="S173" s="211"/>
      <c r="T173" s="211"/>
      <c r="U173" s="213"/>
      <c r="V173" s="65"/>
      <c r="W173" s="66"/>
      <c r="X173" s="76"/>
      <c r="Y173" s="66"/>
      <c r="Z173" s="66"/>
      <c r="AA173" s="86"/>
      <c r="AB173" s="86"/>
      <c r="AC173" s="63"/>
      <c r="AD173" s="93"/>
      <c r="AE173" s="83"/>
      <c r="AF173" s="88"/>
      <c r="AG173" s="85"/>
      <c r="AH173" s="75"/>
      <c r="AI173" s="83"/>
      <c r="AJ173" s="195"/>
      <c r="AK173" s="65"/>
      <c r="AL173" s="66">
        <v>35.6</v>
      </c>
      <c r="AM173" s="72">
        <v>2709</v>
      </c>
      <c r="AN173" s="89">
        <f t="shared" si="155"/>
        <v>66.651428571428582</v>
      </c>
      <c r="AO173" s="488">
        <f t="shared" si="156"/>
        <v>21.199845679012341</v>
      </c>
      <c r="AP173" s="72">
        <v>1391</v>
      </c>
      <c r="AQ173" s="72">
        <f t="shared" si="134"/>
        <v>121584.23437500001</v>
      </c>
      <c r="AR173" s="76">
        <f t="shared" si="158"/>
        <v>1551.776785714286</v>
      </c>
      <c r="AS173" s="230"/>
      <c r="AT173" s="72">
        <f t="shared" si="159"/>
        <v>898.94842735274597</v>
      </c>
      <c r="AU173" s="85"/>
      <c r="AV173" s="143">
        <f t="shared" si="163"/>
        <v>720.68851926857303</v>
      </c>
      <c r="AW173" s="511">
        <f t="shared" si="157"/>
        <v>1.098214285714286</v>
      </c>
      <c r="AX173" s="66"/>
      <c r="AY173" s="66"/>
      <c r="AZ173" s="66"/>
      <c r="BA173" s="66"/>
      <c r="BB173" s="66"/>
      <c r="BC173" s="63"/>
      <c r="BD173" s="64"/>
      <c r="BE173" s="147"/>
      <c r="BF173" s="213"/>
      <c r="BG173" s="65"/>
      <c r="BH173" s="66"/>
      <c r="BI173" s="76"/>
      <c r="BJ173" s="66"/>
      <c r="BK173" s="76"/>
      <c r="BL173" s="86"/>
      <c r="BM173" s="86"/>
      <c r="BN173" s="63"/>
      <c r="BO173" s="93"/>
      <c r="BP173" s="83"/>
      <c r="BQ173" s="88"/>
      <c r="BR173" s="85"/>
      <c r="BS173" s="194"/>
      <c r="BT173" s="75"/>
      <c r="BU173" s="179"/>
      <c r="BV173" s="65"/>
      <c r="BW173" s="66">
        <v>51</v>
      </c>
      <c r="BX173" s="72">
        <v>1566</v>
      </c>
      <c r="BY173" s="435">
        <f t="shared" si="140"/>
        <v>78.857142857142861</v>
      </c>
      <c r="BZ173" s="435">
        <f t="shared" si="141"/>
        <v>9.4601449275362306</v>
      </c>
      <c r="CA173" s="76">
        <v>790</v>
      </c>
      <c r="CB173" s="76">
        <f t="shared" si="142"/>
        <v>67783.768750000003</v>
      </c>
      <c r="CC173" s="289">
        <f t="shared" si="160"/>
        <v>630.80357142857156</v>
      </c>
      <c r="CD173" s="289">
        <f t="shared" si="161"/>
        <v>26.283482142857146</v>
      </c>
      <c r="CE173" s="346">
        <f>CC173/(AVERAGE(BY172,BY173)*(AVERAGE(D$164,D$156,D$127,D$133,D$150,D$151,D$162,D$169,D$170))*AVERAGE(E$164,E$156,E$127,E$133,E$150,E$151,E$162,E$169,E$170)*0.0001)</f>
        <v>561.05804772828128</v>
      </c>
      <c r="CF173" s="161"/>
      <c r="CG173" s="72">
        <f>CC173/(AVERAGE(BY172,BY173)*AVERAGE((D$164,D$156,D$127,D$133,D$150,D$151,D$162,D$169,D$170))*0.01)</f>
        <v>440.05652876821546</v>
      </c>
      <c r="CH173" s="433">
        <f t="shared" si="143"/>
        <v>0.84558119494446593</v>
      </c>
      <c r="CI173" s="66"/>
      <c r="CJ173" s="66"/>
      <c r="CK173" s="66"/>
      <c r="CL173" s="66"/>
      <c r="CM173" s="66"/>
      <c r="CN173" s="111"/>
    </row>
    <row r="174" spans="1:111" ht="15">
      <c r="A174" s="141">
        <f t="shared" si="146"/>
        <v>41329</v>
      </c>
      <c r="B174" s="307">
        <v>0.33333333333333331</v>
      </c>
      <c r="C174" s="304">
        <f t="shared" si="116"/>
        <v>22</v>
      </c>
      <c r="D174" s="65"/>
      <c r="E174" s="66"/>
      <c r="F174" s="66"/>
      <c r="G174" s="66"/>
      <c r="H174" s="66"/>
      <c r="I174" s="66"/>
      <c r="J174" s="86"/>
      <c r="K174" s="86"/>
      <c r="L174" s="63"/>
      <c r="M174" s="86"/>
      <c r="N174" s="66"/>
      <c r="O174" s="261"/>
      <c r="P174" s="713"/>
      <c r="Q174" s="700"/>
      <c r="R174" s="714"/>
      <c r="S174" s="86"/>
      <c r="T174" s="86"/>
      <c r="U174" s="86"/>
      <c r="V174" s="65"/>
      <c r="W174" s="66"/>
      <c r="X174" s="66"/>
      <c r="Y174" s="66"/>
      <c r="Z174" s="66"/>
      <c r="AA174" s="86"/>
      <c r="AB174" s="86"/>
      <c r="AC174" s="63"/>
      <c r="AD174" s="87"/>
      <c r="AE174" s="87"/>
      <c r="AF174" s="87"/>
      <c r="AG174" s="66"/>
      <c r="AH174" s="66"/>
      <c r="AI174" s="64"/>
      <c r="AJ174" s="63"/>
      <c r="AK174" s="65"/>
      <c r="AL174" s="66">
        <v>35.6</v>
      </c>
      <c r="AM174" s="72">
        <v>2733</v>
      </c>
      <c r="AN174" s="89">
        <f t="shared" si="155"/>
        <v>56.552727272727282</v>
      </c>
      <c r="AO174" s="488">
        <f t="shared" si="156"/>
        <v>24.985532407407405</v>
      </c>
      <c r="AP174" s="72">
        <v>1411</v>
      </c>
      <c r="AQ174" s="72">
        <f t="shared" ref="AQ174:AQ200" si="164">((AP174-AP$55)*AQ$2)+AQ$55</f>
        <v>122791.17187500001</v>
      </c>
      <c r="AR174" s="76">
        <f t="shared" si="158"/>
        <v>1316.659090909091</v>
      </c>
      <c r="AS174" s="230">
        <f t="shared" si="162"/>
        <v>54.860795454545453</v>
      </c>
      <c r="AT174" s="72">
        <f t="shared" si="159"/>
        <v>794.80716119444753</v>
      </c>
      <c r="AU174" s="66"/>
      <c r="AV174" s="143">
        <f t="shared" si="163"/>
        <v>611.49328907636493</v>
      </c>
      <c r="AW174" s="511">
        <f t="shared" si="157"/>
        <v>0.93181818181818188</v>
      </c>
      <c r="AX174" s="66"/>
      <c r="AY174" s="66"/>
      <c r="AZ174" s="66"/>
      <c r="BA174" s="66"/>
      <c r="BB174" s="66"/>
      <c r="BC174" s="63"/>
      <c r="BD174" s="64"/>
      <c r="BE174" s="147"/>
      <c r="BF174" s="86"/>
      <c r="BG174" s="65"/>
      <c r="BH174" s="66"/>
      <c r="BI174" s="66"/>
      <c r="BJ174" s="66"/>
      <c r="BK174" s="66"/>
      <c r="BL174" s="86"/>
      <c r="BM174" s="86"/>
      <c r="BN174" s="63"/>
      <c r="BO174" s="87"/>
      <c r="BP174" s="87"/>
      <c r="BQ174" s="87"/>
      <c r="BR174" s="66"/>
      <c r="BS174" s="64"/>
      <c r="BT174" s="66"/>
      <c r="BU174" s="67"/>
      <c r="BV174" s="65"/>
      <c r="BW174" s="66">
        <v>51</v>
      </c>
      <c r="BX174" s="72">
        <v>1581</v>
      </c>
      <c r="BY174" s="443">
        <f t="shared" si="140"/>
        <v>32.727272727272727</v>
      </c>
      <c r="BZ174" s="443">
        <f t="shared" si="141"/>
        <v>22.794444444444444</v>
      </c>
      <c r="CA174" s="72">
        <v>802</v>
      </c>
      <c r="CB174" s="199">
        <f t="shared" si="142"/>
        <v>68519.706250000003</v>
      </c>
      <c r="CC174" s="289">
        <f t="shared" si="160"/>
        <v>802.84090909090912</v>
      </c>
      <c r="CD174" s="289">
        <f t="shared" si="161"/>
        <v>33.451704545454547</v>
      </c>
      <c r="CE174" s="72">
        <f>CC174/(BY174*(AVERAGE(D$164,D$156,D$127,D$133,D$150,D$151,D$162,D$169,D$170))*AVERAGE(E$164,E$156,E$127,E$133,E$150,E$151,E$162,E$169,E$170)*0.0001)</f>
        <v>889.38090528779412</v>
      </c>
      <c r="CF174" s="66"/>
      <c r="CG174" s="72">
        <f>CC174/(BY174*AVERAGE((D$164,D$156,D$127,D$133,D$150,D$151,D$162,D$169,D$170))*0.01)</f>
        <v>697.57109004739345</v>
      </c>
      <c r="CH174" s="433">
        <f t="shared" si="143"/>
        <v>1.0761942481111382</v>
      </c>
      <c r="CI174" s="66"/>
      <c r="CJ174" s="66"/>
      <c r="CK174" s="66"/>
      <c r="CL174" s="66"/>
      <c r="CM174" s="66"/>
      <c r="CN174" s="110"/>
    </row>
    <row r="175" spans="1:111">
      <c r="A175" s="141">
        <f t="shared" si="146"/>
        <v>41330</v>
      </c>
      <c r="B175" s="307">
        <v>0.33333333333333331</v>
      </c>
      <c r="C175" s="304">
        <f t="shared" si="116"/>
        <v>24</v>
      </c>
      <c r="D175" s="65"/>
      <c r="E175" s="66"/>
      <c r="F175" s="66"/>
      <c r="G175" s="66"/>
      <c r="H175" s="66"/>
      <c r="I175" s="66"/>
      <c r="J175" s="86"/>
      <c r="K175" s="86"/>
      <c r="L175" s="63"/>
      <c r="M175" s="86"/>
      <c r="N175" s="66"/>
      <c r="O175" s="261"/>
      <c r="P175" s="702"/>
      <c r="Q175" s="542"/>
      <c r="R175" s="424"/>
      <c r="S175" s="86"/>
      <c r="T175" s="86"/>
      <c r="U175" s="86"/>
      <c r="V175" s="65"/>
      <c r="W175" s="66"/>
      <c r="X175" s="66"/>
      <c r="Y175" s="66"/>
      <c r="Z175" s="66"/>
      <c r="AA175" s="86"/>
      <c r="AB175" s="86"/>
      <c r="AC175" s="63"/>
      <c r="AD175" s="87"/>
      <c r="AE175" s="87"/>
      <c r="AF175" s="87"/>
      <c r="AG175" s="66"/>
      <c r="AH175" s="66"/>
      <c r="AI175" s="64"/>
      <c r="AJ175" s="63"/>
      <c r="AK175" s="65"/>
      <c r="AL175" s="66">
        <v>35.6</v>
      </c>
      <c r="AM175" s="72">
        <v>2761</v>
      </c>
      <c r="AN175" s="89">
        <f t="shared" si="155"/>
        <v>60.480000000000004</v>
      </c>
      <c r="AO175" s="488">
        <f t="shared" si="156"/>
        <v>23.363095238095237</v>
      </c>
      <c r="AP175" s="72">
        <v>1435</v>
      </c>
      <c r="AQ175" s="72">
        <f t="shared" si="164"/>
        <v>124239.49687500001</v>
      </c>
      <c r="AR175" s="76">
        <f t="shared" si="158"/>
        <v>1448.3249999999971</v>
      </c>
      <c r="AS175" s="230">
        <f t="shared" si="162"/>
        <v>60.346874999999876</v>
      </c>
      <c r="AT175" s="72">
        <f t="shared" si="159"/>
        <v>882.53198742529003</v>
      </c>
      <c r="AU175" s="66"/>
      <c r="AV175" s="143">
        <f t="shared" si="163"/>
        <v>696.02779117560556</v>
      </c>
      <c r="AW175" s="511">
        <f t="shared" si="157"/>
        <v>1.0249999999999979</v>
      </c>
      <c r="AX175" s="66"/>
      <c r="AY175" s="66"/>
      <c r="AZ175" s="66"/>
      <c r="BA175" s="66"/>
      <c r="BB175" s="66"/>
      <c r="BC175" s="63"/>
      <c r="BD175" s="64"/>
      <c r="BE175" s="147"/>
      <c r="BF175" s="86"/>
      <c r="BG175" s="65"/>
      <c r="BH175" s="66"/>
      <c r="BI175" s="66"/>
      <c r="BJ175" s="66"/>
      <c r="BK175" s="66"/>
      <c r="BL175" s="86"/>
      <c r="BM175" s="86"/>
      <c r="BN175" s="63"/>
      <c r="BO175" s="87"/>
      <c r="BP175" s="87"/>
      <c r="BQ175" s="87"/>
      <c r="BR175" s="66"/>
      <c r="BS175" s="64"/>
      <c r="BT175" s="66"/>
      <c r="BU175" s="67"/>
      <c r="BV175" s="65"/>
      <c r="BW175" s="66">
        <v>51</v>
      </c>
      <c r="BX175" s="72">
        <v>1597</v>
      </c>
      <c r="BY175" s="443">
        <f t="shared" si="140"/>
        <v>32</v>
      </c>
      <c r="BZ175" s="443">
        <f t="shared" si="141"/>
        <v>23.3125</v>
      </c>
      <c r="CA175" s="72">
        <v>816</v>
      </c>
      <c r="CB175" s="199">
        <f t="shared" si="142"/>
        <v>69378.3</v>
      </c>
      <c r="CC175" s="289">
        <f t="shared" si="160"/>
        <v>858.59375</v>
      </c>
      <c r="CD175" s="289">
        <f t="shared" si="161"/>
        <v>35.774739583333336</v>
      </c>
      <c r="CE175" s="72">
        <f>CC175/(BY175*(AVERAGE(D$164,D$156,D$127,D$133,D$150,D$151,D$162,D$169,D$170))*AVERAGE(E$164,E$156,E$127,E$133,E$150,E$151,E$162,E$169,E$170)*0.0001)</f>
        <v>972.76036515852468</v>
      </c>
      <c r="CF175" s="66"/>
      <c r="CG175" s="72">
        <f>CC175/(BY175*AVERAGE((D$164,D$156,D$127,D$133,D$150,D$151,D$162,D$169,D$170))*0.01)</f>
        <v>762.96837973933657</v>
      </c>
      <c r="CH175" s="433">
        <f t="shared" si="143"/>
        <v>1.1509299597855227</v>
      </c>
      <c r="CI175" s="66"/>
      <c r="CJ175" s="66"/>
      <c r="CK175" s="66"/>
      <c r="CL175" s="66"/>
      <c r="CM175" s="66"/>
      <c r="CN175" s="110"/>
    </row>
    <row r="176" spans="1:111" ht="15">
      <c r="A176" s="141">
        <f t="shared" si="146"/>
        <v>41331</v>
      </c>
      <c r="B176" s="307">
        <v>0.33333333333333331</v>
      </c>
      <c r="C176" s="304">
        <f t="shared" si="116"/>
        <v>24</v>
      </c>
      <c r="D176" s="65"/>
      <c r="E176" s="66"/>
      <c r="F176" s="66"/>
      <c r="G176" s="66"/>
      <c r="H176" s="66"/>
      <c r="I176" s="66"/>
      <c r="J176" s="86"/>
      <c r="K176" s="86"/>
      <c r="L176" s="63"/>
      <c r="M176" s="86"/>
      <c r="N176" s="66"/>
      <c r="O176" s="261"/>
      <c r="P176" s="713"/>
      <c r="Q176" s="700"/>
      <c r="R176" s="714"/>
      <c r="S176" s="86"/>
      <c r="T176" s="86"/>
      <c r="U176" s="86"/>
      <c r="V176" s="65"/>
      <c r="W176" s="66"/>
      <c r="X176" s="66"/>
      <c r="Y176" s="66"/>
      <c r="Z176" s="66"/>
      <c r="AA176" s="86"/>
      <c r="AB176" s="86"/>
      <c r="AC176" s="63"/>
      <c r="AD176" s="87"/>
      <c r="AE176" s="87"/>
      <c r="AF176" s="87"/>
      <c r="AG176" s="66"/>
      <c r="AH176" s="66"/>
      <c r="AI176" s="64"/>
      <c r="AJ176" s="63"/>
      <c r="AK176" s="65"/>
      <c r="AL176" s="66">
        <v>35.6</v>
      </c>
      <c r="AM176" s="72">
        <v>2789</v>
      </c>
      <c r="AN176" s="89">
        <f t="shared" si="155"/>
        <v>60.480000000000004</v>
      </c>
      <c r="AO176" s="488">
        <f t="shared" si="156"/>
        <v>23.363095238095237</v>
      </c>
      <c r="AP176" s="72">
        <v>1459</v>
      </c>
      <c r="AQ176" s="72">
        <f t="shared" si="164"/>
        <v>125687.82187500001</v>
      </c>
      <c r="AR176" s="76">
        <f t="shared" si="158"/>
        <v>1448.3249999999971</v>
      </c>
      <c r="AS176" s="230">
        <f t="shared" si="162"/>
        <v>60.346874999999876</v>
      </c>
      <c r="AT176" s="72">
        <f t="shared" si="159"/>
        <v>840.13610599835306</v>
      </c>
      <c r="AU176" s="66"/>
      <c r="AV176" s="143">
        <f t="shared" si="163"/>
        <v>651.92121724281992</v>
      </c>
      <c r="AW176" s="511">
        <f t="shared" si="157"/>
        <v>1.0249999999999979</v>
      </c>
      <c r="AX176" s="66"/>
      <c r="AY176" s="66"/>
      <c r="AZ176" s="66"/>
      <c r="BA176" s="66"/>
      <c r="BB176" s="66"/>
      <c r="BC176" s="63"/>
      <c r="BD176" s="64"/>
      <c r="BE176" s="147"/>
      <c r="BF176" s="86"/>
      <c r="BG176" s="65"/>
      <c r="BH176" s="66"/>
      <c r="BI176" s="66"/>
      <c r="BJ176" s="66"/>
      <c r="BK176" s="66"/>
      <c r="BL176" s="86"/>
      <c r="BM176" s="86"/>
      <c r="BN176" s="63"/>
      <c r="BO176" s="87"/>
      <c r="BP176" s="87"/>
      <c r="BQ176" s="87"/>
      <c r="BR176" s="66"/>
      <c r="BS176" s="64"/>
      <c r="BT176" s="66"/>
      <c r="BU176" s="67"/>
      <c r="BV176" s="65"/>
      <c r="BW176" s="66">
        <v>51</v>
      </c>
      <c r="BX176" s="72">
        <v>1612</v>
      </c>
      <c r="BY176" s="443">
        <f t="shared" si="140"/>
        <v>30</v>
      </c>
      <c r="BZ176" s="443">
        <f t="shared" si="141"/>
        <v>24.866666666666667</v>
      </c>
      <c r="CA176" s="72">
        <v>829</v>
      </c>
      <c r="CB176" s="199">
        <f t="shared" si="142"/>
        <v>70175.565625000003</v>
      </c>
      <c r="CC176" s="289">
        <f t="shared" si="160"/>
        <v>797.265625</v>
      </c>
      <c r="CD176" s="289">
        <f t="shared" si="161"/>
        <v>33.219401041666664</v>
      </c>
      <c r="CE176" s="72">
        <f>CC176/(BY176*(AVERAGE(D$164,D$156,D$127,D$133,D$150,D$151,D$162,D$169,D$170))*AVERAGE(E$164,E$156,E$127,E$133,E$150,E$151,E$162,E$169,E$170)*0.0001)</f>
        <v>963.49598072844356</v>
      </c>
      <c r="CF176" s="66"/>
      <c r="CG176" s="72">
        <f>CC176/(BY176*AVERAGE((D$164,D$156,D$127,D$133,D$150,D$151,D$162,D$169,D$170))*0.01)</f>
        <v>755.70201421800948</v>
      </c>
      <c r="CH176" s="433">
        <f t="shared" si="143"/>
        <v>1.0687206769436997</v>
      </c>
      <c r="CI176" s="66"/>
      <c r="CJ176" s="66"/>
      <c r="CK176" s="66"/>
      <c r="CL176" s="66"/>
      <c r="CM176" s="66"/>
      <c r="CN176" s="110"/>
    </row>
    <row r="177" spans="1:112" s="584" customFormat="1" ht="18" customHeight="1">
      <c r="A177" s="574">
        <f t="shared" si="146"/>
        <v>41332</v>
      </c>
      <c r="B177" s="586">
        <v>0.625</v>
      </c>
      <c r="C177" s="587">
        <f t="shared" si="116"/>
        <v>31</v>
      </c>
      <c r="D177" s="575">
        <v>3.8</v>
      </c>
      <c r="E177" s="576">
        <v>78.5</v>
      </c>
      <c r="F177" s="313">
        <v>56600</v>
      </c>
      <c r="G177" s="576"/>
      <c r="H177" s="576">
        <v>41.1</v>
      </c>
      <c r="I177" s="576">
        <v>5454</v>
      </c>
      <c r="J177" s="577">
        <v>2441</v>
      </c>
      <c r="K177" s="577">
        <v>31.6</v>
      </c>
      <c r="L177" s="578">
        <v>246</v>
      </c>
      <c r="M177" s="577"/>
      <c r="N177" s="576"/>
      <c r="O177" s="579"/>
      <c r="P177" s="699"/>
      <c r="Q177" s="703"/>
      <c r="R177" s="715"/>
      <c r="S177" s="577"/>
      <c r="T177" s="577"/>
      <c r="U177" s="577"/>
      <c r="V177" s="575">
        <v>2.4</v>
      </c>
      <c r="W177" s="576">
        <v>65.5</v>
      </c>
      <c r="X177" s="576">
        <v>27400</v>
      </c>
      <c r="Y177" s="576">
        <v>32.299999999999997</v>
      </c>
      <c r="Z177" s="348">
        <v>1156</v>
      </c>
      <c r="AA177" s="577">
        <v>268</v>
      </c>
      <c r="AB177" s="577">
        <v>69.599999999999994</v>
      </c>
      <c r="AC177" s="578">
        <v>148</v>
      </c>
      <c r="AD177" s="600">
        <f>D170*(100-E170)/(100-W177)</f>
        <v>2.5313043478260866</v>
      </c>
      <c r="AE177" s="601">
        <f>D170-V177</f>
        <v>1.6999999999999997</v>
      </c>
      <c r="AF177" s="602">
        <f>100*(AVERAGE(D164,D170,D123,D169,D162,D156,D151,D127,D133,D150)-V177)/AVERAGE(D164,D170,D123,D169,D162,D156,D151,D127,D133,D150)</f>
        <v>32.942162615255675</v>
      </c>
      <c r="AG177" s="602">
        <f>100*(1-((100-AVERAGE(E164,E170,E123,E169,E162,E156,E151,E127,E133,E150))/(100-W177)))</f>
        <v>35.710144927536255</v>
      </c>
      <c r="AH177" s="601">
        <f>E170-W177</f>
        <v>13.200000000000003</v>
      </c>
      <c r="AI177" s="602">
        <f>100*(1-((V177*W177)/(AVERAGE(D164,D170,D123,D169,D162,D156,D151,D127,D133,D150)*AVERAGE(E164,E170,E123,E69,E162,E156,E151,E127,E133,E150))))</f>
        <v>43.406449336711852</v>
      </c>
      <c r="AJ177" s="603">
        <f>100*100*((AVERAGE(E164,E170,E123,E169,E162,E156,E151,E127,E133,E150)-W177)/((100-W177)*AVERAGE(E164,E170,E123,E169,E162,E156,E151,E127,E133,E150)))</f>
        <v>45.888132777610188</v>
      </c>
      <c r="AK177" s="575"/>
      <c r="AL177" s="576">
        <v>35.6</v>
      </c>
      <c r="AM177" s="588">
        <v>2830</v>
      </c>
      <c r="AN177" s="589">
        <f t="shared" si="155"/>
        <v>68.56258064516129</v>
      </c>
      <c r="AO177" s="590">
        <f t="shared" si="156"/>
        <v>20.60890921409214</v>
      </c>
      <c r="AP177" s="588">
        <v>1490</v>
      </c>
      <c r="AQ177" s="588">
        <f t="shared" si="164"/>
        <v>127558.57500000001</v>
      </c>
      <c r="AR177" s="580">
        <f t="shared" si="158"/>
        <v>1448.3250000000021</v>
      </c>
      <c r="AS177" s="591">
        <f t="shared" si="162"/>
        <v>60.346875000000097</v>
      </c>
      <c r="AT177" s="588">
        <f t="shared" si="159"/>
        <v>895.44606293023674</v>
      </c>
      <c r="AU177" s="313">
        <f>(AQ177-AQ148)/(AVERAGE(AN148:AN177)*((AVERAGE(D150,D170,D169,D156,D151,D162,D164)*AVERAGE(E150,E170,E169,E156,E151,E162,E164))-(V177*W177))*0.0001*(SUM(C148:C177)/24))</f>
        <v>1459.7509746380997</v>
      </c>
      <c r="AV177" s="592">
        <f t="shared" si="163"/>
        <v>744.3096866467796</v>
      </c>
      <c r="AW177" s="593">
        <f t="shared" si="157"/>
        <v>1.0250000000000015</v>
      </c>
      <c r="AX177" s="576"/>
      <c r="AY177" s="576"/>
      <c r="AZ177" s="576"/>
      <c r="BA177" s="576"/>
      <c r="BB177" s="576"/>
      <c r="BC177" s="578"/>
      <c r="BD177" s="581"/>
      <c r="BE177" s="582"/>
      <c r="BF177" s="594"/>
      <c r="BG177" s="575">
        <v>2.5</v>
      </c>
      <c r="BH177" s="576">
        <v>63.8</v>
      </c>
      <c r="BI177" s="580">
        <v>25300</v>
      </c>
      <c r="BJ177" s="580">
        <v>34.6</v>
      </c>
      <c r="BK177" s="580">
        <v>2616</v>
      </c>
      <c r="BL177" s="577">
        <v>504</v>
      </c>
      <c r="BM177" s="577">
        <v>74.3</v>
      </c>
      <c r="BN177" s="578">
        <v>123</v>
      </c>
      <c r="BO177" s="376">
        <f>D170*(100-E170)/(100-BH177)</f>
        <v>2.4124309392265189</v>
      </c>
      <c r="BP177" s="372">
        <f>D170-BG177</f>
        <v>1.5999999999999996</v>
      </c>
      <c r="BQ177" s="374">
        <f>100*(AVERAGE(D164,D170,D123,D169,D162,D156,D151,D127,D133,D150)-BG177)/AVERAGE(D164,D170,D123,D169,D162,D156,D151,D127,D133,D150)</f>
        <v>30.14808605755799</v>
      </c>
      <c r="BR177" s="367">
        <f>100*(1-((100-AVERAGE(E164,E170,E123,E169,E162,E156,E151,E127,E133,E150))/(100-BH177)))</f>
        <v>38.729281767955825</v>
      </c>
      <c r="BS177" s="375">
        <f>E170-BH177</f>
        <v>14.900000000000006</v>
      </c>
      <c r="BT177" s="312">
        <f>100*(1-((BG177*BH177)/(AVERAGE(D164,D170,D123,D169,D162,D156,D151,D127,D133,D150)*AVERAGE(E164,E170,E123,E169,E162,E156,E151,E127,E133,E150))))</f>
        <v>42.732560915859672</v>
      </c>
      <c r="BU177" s="412">
        <f>100*100*((AVERAGE(E164,E170,E123,E169,E162,E156,E151,E127,E133,E150)-BH177)/((100-BH177)*AVERAGE(E164,E170,E123,E169,E162,E156,E151,E127,E133,E150)))</f>
        <v>49.767774052885926</v>
      </c>
      <c r="BV177" s="575"/>
      <c r="BW177" s="576">
        <v>51</v>
      </c>
      <c r="BX177" s="72">
        <v>1630</v>
      </c>
      <c r="BY177" s="595">
        <f t="shared" si="140"/>
        <v>27.870967741935484</v>
      </c>
      <c r="BZ177" s="595">
        <f t="shared" si="141"/>
        <v>26.766203703703702</v>
      </c>
      <c r="CA177" s="588">
        <v>847</v>
      </c>
      <c r="CB177" s="596">
        <f t="shared" si="142"/>
        <v>71279.471875000003</v>
      </c>
      <c r="CC177" s="597">
        <f t="shared" si="160"/>
        <v>854.63709677419354</v>
      </c>
      <c r="CD177" s="597">
        <f t="shared" si="161"/>
        <v>35.609879032258064</v>
      </c>
      <c r="CE177" s="588">
        <f>CC177/(AVERAGE(BY177,BY178)*(AVERAGE(D$164,D$156,D$127,D$133,D$150,D$151,D$162,D$169,D$170))*AVERAGE(E$164,E$156,E$127,E$133,E$150,E$151,E$162,E$169,E$170)*0.0001)</f>
        <v>914.11945150000543</v>
      </c>
      <c r="CF177" s="313">
        <f>(CB177-CB148)/(AVERAGE(BY148:BY177)*((AVERAGE(D150,D169,D170,D151,D156,D162,D164)*AVERAGE(E150,E169,E156,E170,E151,E162,E164))-(BG177*BH177))*0.0001*(SUM(C148:C177)/24))</f>
        <v>1622.2933400350601</v>
      </c>
      <c r="CG177" s="588">
        <f>CC177/(BY177*AVERAGE((D$164,D$156,D$127,D$133,D$150,D$151,D$162,D$169,D$170))*0.01)</f>
        <v>871.96386255924165</v>
      </c>
      <c r="CH177" s="593">
        <f t="shared" si="143"/>
        <v>1.1456261350860504</v>
      </c>
      <c r="CI177" s="576"/>
      <c r="CJ177" s="576"/>
      <c r="CK177" s="576"/>
      <c r="CL177" s="576"/>
      <c r="CM177" s="576"/>
      <c r="CN177" s="583"/>
    </row>
    <row r="178" spans="1:112" s="337" customFormat="1">
      <c r="A178" s="309">
        <f t="shared" si="146"/>
        <v>41333</v>
      </c>
      <c r="B178" s="416">
        <v>0.3263888888888889</v>
      </c>
      <c r="C178" s="304">
        <f t="shared" si="116"/>
        <v>16.833333333333332</v>
      </c>
      <c r="D178" s="339">
        <v>4.07</v>
      </c>
      <c r="E178" s="365">
        <v>79.09</v>
      </c>
      <c r="F178" s="319"/>
      <c r="G178" s="365">
        <v>5.99</v>
      </c>
      <c r="H178" s="319"/>
      <c r="I178" s="319"/>
      <c r="J178" s="317"/>
      <c r="K178" s="317"/>
      <c r="L178" s="320"/>
      <c r="M178" s="317"/>
      <c r="N178" s="319"/>
      <c r="O178" s="316"/>
      <c r="P178" s="702"/>
      <c r="Q178" s="542"/>
      <c r="R178" s="424"/>
      <c r="S178" s="317"/>
      <c r="T178" s="317"/>
      <c r="U178" s="317"/>
      <c r="V178" s="598">
        <v>2.460166169118442</v>
      </c>
      <c r="W178" s="599">
        <v>65.5</v>
      </c>
      <c r="X178" s="348"/>
      <c r="Y178" s="319"/>
      <c r="Z178" s="319"/>
      <c r="AA178" s="317"/>
      <c r="AB178" s="317"/>
      <c r="AC178" s="320"/>
      <c r="AD178" s="391">
        <f>D170*(100-E170)/(100-W178)</f>
        <v>2.5313043478260866</v>
      </c>
      <c r="AE178" s="387">
        <f>D170-V178</f>
        <v>1.6398338308815577</v>
      </c>
      <c r="AF178" s="393">
        <f>100*(AVERAGE(D164,D170,D177,D169,D162,D156,D151,D127,D133,D150)-V178)/AVERAGE(D164,D170,D177,D169,D162,D156,D151,D127,D133,D150)</f>
        <v>30.601800589042544</v>
      </c>
      <c r="AG178" s="393">
        <f>100*(1-((100-AVERAGE(E164,E170,E177,E169,E162,E156,E151,E127,E133,E150))/(100-W178)))</f>
        <v>37.507246376811544</v>
      </c>
      <c r="AH178" s="387">
        <f>E170-W178</f>
        <v>13.200000000000003</v>
      </c>
      <c r="AI178" s="393">
        <f>100*(1-((V178*W178)/(AVERAGE(D164,D170,D177,D169,D162,D156,D151,D127,D133,D150)*AVERAGE(E164,E170,E177,E169,E162,E156,E151,E127,E133,E150))))</f>
        <v>42.050203194572752</v>
      </c>
      <c r="AJ178" s="389">
        <f>100*100*((AVERAGE(E164,E170,E177,E169,E162,E156,E151,E127,E133,E150)-W178)/((100-W178)*AVERAGE(E164,E170,E177,E169,E162,E156,E151,E127,E133,E150)))</f>
        <v>47.816479317709778</v>
      </c>
      <c r="AK178" s="318">
        <v>7.16</v>
      </c>
      <c r="AL178" s="470">
        <v>32.799999999999997</v>
      </c>
      <c r="AM178" s="313">
        <v>2842</v>
      </c>
      <c r="AN178" s="89">
        <f t="shared" si="155"/>
        <v>36.95524752475248</v>
      </c>
      <c r="AO178" s="488">
        <f t="shared" si="156"/>
        <v>38.23543595679012</v>
      </c>
      <c r="AP178" s="72">
        <v>1503</v>
      </c>
      <c r="AQ178" s="72">
        <f t="shared" si="164"/>
        <v>128343.08437500001</v>
      </c>
      <c r="AR178" s="76">
        <f t="shared" si="158"/>
        <v>1118.5084158415759</v>
      </c>
      <c r="AS178" s="230">
        <f t="shared" si="162"/>
        <v>46.604517326732328</v>
      </c>
      <c r="AT178" s="72">
        <f t="shared" si="159"/>
        <v>776.21273157825362</v>
      </c>
      <c r="AU178" s="313">
        <f>(AQ178-AQ149)/(AVERAGE(AN149:AN178)*((AVERAGE(D177,D170,D169,D156,D151,D162,D164)*AVERAGE(E177,E170,E169,E156,E151,E162,E164))-(V178*W178))*0.0001*(SUM(C149:C178)/24))</f>
        <v>1478.8079568755572</v>
      </c>
      <c r="AV178" s="143">
        <f t="shared" si="163"/>
        <v>554.70281891800141</v>
      </c>
      <c r="AW178" s="511">
        <f t="shared" si="157"/>
        <v>0.79158415841583574</v>
      </c>
      <c r="AX178" s="319">
        <v>69.2</v>
      </c>
      <c r="AY178" s="319">
        <v>30.8</v>
      </c>
      <c r="AZ178" s="319">
        <v>0</v>
      </c>
      <c r="BA178" s="319">
        <v>140</v>
      </c>
      <c r="BB178" s="319">
        <v>120</v>
      </c>
      <c r="BC178" s="415" t="s">
        <v>139</v>
      </c>
      <c r="BD178" s="368"/>
      <c r="BE178" s="330"/>
      <c r="BF178" s="317"/>
      <c r="BG178" s="598">
        <v>2.3175257731958778</v>
      </c>
      <c r="BH178" s="599">
        <v>63.88</v>
      </c>
      <c r="BI178" s="348"/>
      <c r="BJ178" s="319"/>
      <c r="BK178" s="348"/>
      <c r="BL178" s="317"/>
      <c r="BM178" s="317"/>
      <c r="BN178" s="320"/>
      <c r="BO178" s="376">
        <f>D170*(100-E170)/(100-BH178)</f>
        <v>2.4177740863787371</v>
      </c>
      <c r="BP178" s="372">
        <f>D170-BG178</f>
        <v>1.7824742268041218</v>
      </c>
      <c r="BQ178" s="374">
        <f>100*(AVERAGE(D164,D170,D177,D169,D162,D156,D151,D127,D133,D150)-BG178)/AVERAGE(D164,D170,D177,D169,D162,D156,D151,D127,D133,D150)</f>
        <v>34.625507103078206</v>
      </c>
      <c r="BR178" s="367">
        <f>100*(1-((100-AVERAGE(E164,E170,E177,E169,E162,E156,E151,E127,E133,E150))/(100-BH178)))</f>
        <v>40.310077519379796</v>
      </c>
      <c r="BS178" s="375">
        <f>E170-BH178</f>
        <v>14.82</v>
      </c>
      <c r="BT178" s="312">
        <f>100*(1-((BG178*BH178)/(AVERAGE(D164,D170,D177,D169,D162,D156,D151,D127,D133,D150)*AVERAGE(E164,E170,E177,E169,E162,E156,E151,E127,E133,E150))))</f>
        <v>46.760293137998922</v>
      </c>
      <c r="BU178" s="412">
        <f>100*100*((AVERAGE(E164,E170,E177,E169,E162,E156,E151,E127,E133,E150)-BH178)/((100-BH178)*AVERAGE(E164,E170,E177,E169,E162,E156,E151,E127,E133,E150)))</f>
        <v>51.389695970652475</v>
      </c>
      <c r="BV178" s="318">
        <v>7.35</v>
      </c>
      <c r="BW178" s="365">
        <v>46.2</v>
      </c>
      <c r="BX178" s="72">
        <v>1644</v>
      </c>
      <c r="BY178" s="443">
        <f t="shared" ref="BY178:BY183" si="165">(BX178-BX177)*CB$1/((C178)/24)</f>
        <v>39.920792079207921</v>
      </c>
      <c r="BZ178" s="443">
        <f t="shared" si="141"/>
        <v>18.687003968253968</v>
      </c>
      <c r="CA178" s="319">
        <v>853</v>
      </c>
      <c r="CB178" s="199">
        <f t="shared" si="142"/>
        <v>71647.440625000003</v>
      </c>
      <c r="CC178" s="289">
        <f t="shared" si="160"/>
        <v>524.62871287128712</v>
      </c>
      <c r="CD178" s="289">
        <f t="shared" si="161"/>
        <v>21.859529702970299</v>
      </c>
      <c r="CE178" s="72">
        <f>CC178/(AVERAGE(BY177,BY178)*(AVERAGE(D$164,D$156,D$127,D$133,D$150,D$151,D$162,D$169,D$170))*AVERAGE(E$164,E$156,E$127,E$133,E$150,E$151,E$162,E$169,E$70)*0.0001)</f>
        <v>563.0889958974908</v>
      </c>
      <c r="CF178" s="313">
        <f>(CB178-CB149)/(AVERAGE(BY149:BY178)*((AVERAGE(D150,D169,D170,D151,D156,D162,D164)*AVERAGE(E150,E169,E156,E170,E151,E162,E164))-(BG178*BH178))*0.0001*(SUM(C149:C178)/24))</f>
        <v>1411.4098937094059</v>
      </c>
      <c r="CG178" s="72">
        <f>CC178/(BY178*AVERAGE((D$164,D$156,D$127,D$133,D$150,D$151,D$162,D$169,D$170))*0.01)</f>
        <v>373.69879823967506</v>
      </c>
      <c r="CH178" s="433">
        <f t="shared" si="143"/>
        <v>0.70325564728054579</v>
      </c>
      <c r="CI178" s="319">
        <v>69.099999999999994</v>
      </c>
      <c r="CJ178" s="319">
        <v>30.9</v>
      </c>
      <c r="CK178" s="319">
        <v>0</v>
      </c>
      <c r="CL178" s="319">
        <v>151</v>
      </c>
      <c r="CM178" s="319">
        <v>250</v>
      </c>
      <c r="CN178" s="442" t="s">
        <v>139</v>
      </c>
    </row>
    <row r="179" spans="1:112" ht="15">
      <c r="A179" s="141">
        <f t="shared" si="146"/>
        <v>41334</v>
      </c>
      <c r="B179" s="307">
        <v>0.33333333333333331</v>
      </c>
      <c r="C179" s="304">
        <f t="shared" si="116"/>
        <v>24.166666666666664</v>
      </c>
      <c r="D179" s="65"/>
      <c r="E179" s="66"/>
      <c r="F179" s="66"/>
      <c r="G179" s="66"/>
      <c r="H179" s="66"/>
      <c r="I179" s="66"/>
      <c r="J179" s="86"/>
      <c r="K179" s="86"/>
      <c r="L179" s="63"/>
      <c r="M179" s="86"/>
      <c r="N179" s="66"/>
      <c r="O179" s="261"/>
      <c r="P179" s="713"/>
      <c r="Q179" s="700"/>
      <c r="R179" s="714"/>
      <c r="S179" s="86"/>
      <c r="T179" s="86"/>
      <c r="U179" s="86"/>
      <c r="V179" s="65"/>
      <c r="W179" s="66"/>
      <c r="X179" s="66"/>
      <c r="Y179" s="66"/>
      <c r="Z179" s="66"/>
      <c r="AA179" s="86"/>
      <c r="AB179" s="86"/>
      <c r="AC179" s="63"/>
      <c r="AD179" s="87"/>
      <c r="AE179" s="87"/>
      <c r="AF179" s="87"/>
      <c r="AG179" s="66"/>
      <c r="AH179" s="66"/>
      <c r="AI179" s="64"/>
      <c r="AJ179" s="63"/>
      <c r="AK179" s="65"/>
      <c r="AL179" s="66">
        <v>35.6</v>
      </c>
      <c r="AM179" s="72">
        <v>2873</v>
      </c>
      <c r="AN179" s="89">
        <f>(AM179-AM178)*AQ$1/((C179)/24)</f>
        <v>66.498206896551736</v>
      </c>
      <c r="AO179" s="488">
        <f>AQ$3/AN179</f>
        <v>21.248693249701311</v>
      </c>
      <c r="AP179" s="81">
        <v>1524</v>
      </c>
      <c r="AQ179" s="76">
        <f t="shared" si="164"/>
        <v>129610.36875000001</v>
      </c>
      <c r="AR179" s="76">
        <f>(AQ179-AQ178)/(C179/24)</f>
        <v>1258.5444827586236</v>
      </c>
      <c r="AS179" s="230">
        <f>(AQ179-AQ178)/C179</f>
        <v>52.439353448275988</v>
      </c>
      <c r="AT179" s="72">
        <f>AR179/(AVERAGE(AN179)*(AVERAGE(D$164,D$156,D$177,D$178,D$150,D$151,D$162,D$169,D$170))*AVERAGE(E$164,E$156,E$177,E$178,E$150,E$151,E$162,E$169,E$170)*0.0001)</f>
        <v>659.53690616337155</v>
      </c>
      <c r="AU179" s="66"/>
      <c r="AV179" s="143">
        <f>AR179/(AVERAGE(AN179)*AVERAGE(D$164,D$156,D$177,D$178,D$150,D$151,D$162,D$169,D$170)*0.01)</f>
        <v>514.91511901743684</v>
      </c>
      <c r="AW179" s="511">
        <f t="shared" si="157"/>
        <v>0.89068965517241594</v>
      </c>
      <c r="AX179" s="66"/>
      <c r="AY179" s="66"/>
      <c r="AZ179" s="66"/>
      <c r="BA179" s="66"/>
      <c r="BB179" s="66"/>
      <c r="BC179" s="102"/>
      <c r="BD179" s="64"/>
      <c r="BE179" s="147"/>
      <c r="BF179" s="86"/>
      <c r="BG179" s="65"/>
      <c r="BH179" s="66"/>
      <c r="BI179" s="66"/>
      <c r="BJ179" s="66"/>
      <c r="BK179" s="66"/>
      <c r="BL179" s="86"/>
      <c r="BM179" s="86"/>
      <c r="BN179" s="63"/>
      <c r="BO179" s="87"/>
      <c r="BP179" s="87"/>
      <c r="BQ179" s="87"/>
      <c r="BR179" s="66"/>
      <c r="BS179" s="64"/>
      <c r="BT179" s="66"/>
      <c r="BU179" s="67"/>
      <c r="BV179" s="65"/>
      <c r="BW179" s="66">
        <v>51</v>
      </c>
      <c r="BX179" s="72">
        <v>1649</v>
      </c>
      <c r="BY179" s="435">
        <f t="shared" si="165"/>
        <v>9.931034482758621</v>
      </c>
      <c r="BZ179" s="443">
        <f>CB$3/BY179</f>
        <v>75.118055555555557</v>
      </c>
      <c r="CA179" s="72">
        <v>863</v>
      </c>
      <c r="CB179" s="199">
        <f t="shared" si="142"/>
        <v>72260.721875000003</v>
      </c>
      <c r="CC179" s="289">
        <f>(CB179-CB178)/((C179/24))</f>
        <v>609.05172413793105</v>
      </c>
      <c r="CD179" s="289">
        <f>(CB179-CB178)/(C179)</f>
        <v>25.377155172413797</v>
      </c>
      <c r="CE179" s="72">
        <f>CC179/(AVERAGE(BY178,BY179)*(AVERAGE(D$164,D$156,D$177,D$178,D$150,D$151,D$162,D$169,D$170))*AVERAGE(E$164,E$156,E$177,E$178,E$150,E$151,E$162,E$169,E$70)*0.0001)</f>
        <v>854.46505555417275</v>
      </c>
      <c r="CF179" s="66"/>
      <c r="CG179" s="72"/>
      <c r="CH179" s="433">
        <f t="shared" si="143"/>
        <v>0.81642322270500145</v>
      </c>
      <c r="CI179" s="66"/>
      <c r="CJ179" s="66"/>
      <c r="CK179" s="66"/>
      <c r="CL179" s="66"/>
      <c r="CM179" s="66"/>
      <c r="CN179" s="110" t="s">
        <v>140</v>
      </c>
    </row>
    <row r="180" spans="1:112" ht="15">
      <c r="A180" s="141">
        <f t="shared" si="146"/>
        <v>41335</v>
      </c>
      <c r="B180" s="307">
        <f>B179</f>
        <v>0.33333333333333331</v>
      </c>
      <c r="C180" s="304">
        <f t="shared" si="116"/>
        <v>24</v>
      </c>
      <c r="D180" s="65"/>
      <c r="E180" s="66"/>
      <c r="F180" s="66"/>
      <c r="G180" s="66"/>
      <c r="H180" s="66"/>
      <c r="I180" s="66"/>
      <c r="J180" s="86"/>
      <c r="K180" s="86"/>
      <c r="L180" s="63"/>
      <c r="M180" s="86"/>
      <c r="N180" s="66"/>
      <c r="O180" s="261"/>
      <c r="P180" s="713"/>
      <c r="Q180" s="700"/>
      <c r="R180" s="714"/>
      <c r="S180" s="86"/>
      <c r="T180" s="86"/>
      <c r="U180" s="86"/>
      <c r="V180" s="65"/>
      <c r="W180" s="66"/>
      <c r="X180" s="66"/>
      <c r="Y180" s="66"/>
      <c r="Z180" s="66"/>
      <c r="AA180" s="86"/>
      <c r="AB180" s="86"/>
      <c r="AC180" s="63"/>
      <c r="AD180" s="87"/>
      <c r="AE180" s="87"/>
      <c r="AF180" s="87"/>
      <c r="AG180" s="66"/>
      <c r="AH180" s="66"/>
      <c r="AI180" s="64"/>
      <c r="AJ180" s="63"/>
      <c r="AK180" s="65"/>
      <c r="AL180" s="66">
        <v>35.6</v>
      </c>
      <c r="AM180" s="72">
        <v>2901</v>
      </c>
      <c r="AN180" s="89">
        <f>(AM180-AM179)*AQ$1/((C180)/24)</f>
        <v>60.480000000000004</v>
      </c>
      <c r="AO180" s="488">
        <f>AQ$3/AN180</f>
        <v>23.363095238095237</v>
      </c>
      <c r="AP180" s="66">
        <v>1544</v>
      </c>
      <c r="AQ180" s="76">
        <f t="shared" si="164"/>
        <v>130817.30625000001</v>
      </c>
      <c r="AR180" s="76">
        <f>(AQ180-AQ179)/(C180/24)</f>
        <v>1206.9375</v>
      </c>
      <c r="AS180" s="230">
        <f>(AQ180-AQ179)/C180</f>
        <v>50.2890625</v>
      </c>
      <c r="AT180" s="72">
        <f>AR180/(AVERAGE(AN180)*(AVERAGE(D$164,D$156,D$177,D$178,D$150,D$151,D$162,D$169,D$170))*AVERAGE(E$164,E$156,E$177,E$178,E$150,E$151,E$162,E$169,E$170)*0.0001)</f>
        <v>695.43007112464181</v>
      </c>
      <c r="AU180" s="66"/>
      <c r="AV180" s="143">
        <f>AR180/(AVERAGE(AN180)*AVERAGE(D$164,D$156,D$177,D$178,D$150,D$151,D$162,D$169,D$170)*0.01)</f>
        <v>542.9377105285887</v>
      </c>
      <c r="AW180" s="511">
        <f t="shared" si="157"/>
        <v>0.85416666666666663</v>
      </c>
      <c r="AX180" s="66"/>
      <c r="AY180" s="66"/>
      <c r="AZ180" s="66"/>
      <c r="BA180" s="66"/>
      <c r="BB180" s="66"/>
      <c r="BC180" s="63"/>
      <c r="BD180" s="64"/>
      <c r="BE180" s="147"/>
      <c r="BF180" s="86"/>
      <c r="BG180" s="65"/>
      <c r="BH180" s="66"/>
      <c r="BI180" s="66"/>
      <c r="BJ180" s="66"/>
      <c r="BK180" s="66"/>
      <c r="BL180" s="86"/>
      <c r="BM180" s="86"/>
      <c r="BN180" s="63"/>
      <c r="BO180" s="87"/>
      <c r="BP180" s="87"/>
      <c r="BQ180" s="87"/>
      <c r="BR180" s="66"/>
      <c r="BS180" s="64"/>
      <c r="BT180" s="66"/>
      <c r="BU180" s="67"/>
      <c r="BV180" s="65"/>
      <c r="BW180" s="66">
        <v>51</v>
      </c>
      <c r="BX180" s="72">
        <v>1662</v>
      </c>
      <c r="BY180" s="443">
        <f t="shared" si="165"/>
        <v>26</v>
      </c>
      <c r="BZ180" s="443">
        <f>CB$3/BY180</f>
        <v>28.692307692307693</v>
      </c>
      <c r="CA180" s="72">
        <v>873</v>
      </c>
      <c r="CB180" s="76">
        <f t="shared" si="142"/>
        <v>72874.003125000003</v>
      </c>
      <c r="CC180" s="289">
        <f>(CB180-CB179)/((C180/24))</f>
        <v>613.28125</v>
      </c>
      <c r="CD180" s="289">
        <f>(CB180-CB179)/(C180)</f>
        <v>25.553385416666668</v>
      </c>
      <c r="CE180" s="72">
        <f>CC180/(AVERAGE(BY179,BY180)*(AVERAGE(D$164,D$156,D$177,D$178,D$150,D$151,D$162,D$169,D$170))*AVERAGE(E$164,E$156,E$177,E$178,E$150,E$151,E$162,E$169,E$70)*0.0001)</f>
        <v>1193.7439151491803</v>
      </c>
      <c r="CF180" s="66"/>
      <c r="CG180" s="72">
        <f>CC180/(BY180*AVERAGE((D$164,D$156,D$177,D$178,D$150,D$151,D$162,D$169,D$170))*0.01)</f>
        <v>641.74626197563009</v>
      </c>
      <c r="CH180" s="433">
        <f t="shared" si="143"/>
        <v>0.82209282841823061</v>
      </c>
      <c r="CI180" s="66"/>
      <c r="CJ180" s="66"/>
      <c r="CK180" s="66"/>
      <c r="CL180" s="66"/>
      <c r="CM180" s="66"/>
      <c r="CN180" s="110"/>
    </row>
    <row r="181" spans="1:112">
      <c r="A181" s="141">
        <f t="shared" si="146"/>
        <v>41336</v>
      </c>
      <c r="B181" s="307">
        <v>0.45833333333333331</v>
      </c>
      <c r="C181" s="304">
        <f t="shared" si="116"/>
        <v>27</v>
      </c>
      <c r="D181" s="65"/>
      <c r="E181" s="66"/>
      <c r="F181" s="66"/>
      <c r="G181" s="66"/>
      <c r="H181" s="66"/>
      <c r="I181" s="66"/>
      <c r="J181" s="86"/>
      <c r="K181" s="86"/>
      <c r="L181" s="63"/>
      <c r="M181" s="86"/>
      <c r="N181" s="66"/>
      <c r="O181" s="261"/>
      <c r="P181" s="702"/>
      <c r="Q181" s="542"/>
      <c r="R181" s="424"/>
      <c r="S181" s="86"/>
      <c r="T181" s="86"/>
      <c r="U181" s="86"/>
      <c r="V181" s="65"/>
      <c r="W181" s="66"/>
      <c r="X181" s="66"/>
      <c r="Y181" s="66"/>
      <c r="Z181" s="66"/>
      <c r="AA181" s="86"/>
      <c r="AB181" s="86"/>
      <c r="AC181" s="63"/>
      <c r="AD181" s="87"/>
      <c r="AE181" s="87"/>
      <c r="AF181" s="87"/>
      <c r="AG181" s="66"/>
      <c r="AH181" s="66"/>
      <c r="AI181" s="64"/>
      <c r="AJ181" s="63"/>
      <c r="AK181" s="65"/>
      <c r="AL181" s="66">
        <v>35.6</v>
      </c>
      <c r="AM181" s="72">
        <v>2935</v>
      </c>
      <c r="AN181" s="89">
        <f>(AM181-AM180)*AQ$1/((C181)/24)</f>
        <v>65.28</v>
      </c>
      <c r="AO181" s="488">
        <f>AQ$3/AN181</f>
        <v>21.645220588235293</v>
      </c>
      <c r="AP181" s="72">
        <v>1568</v>
      </c>
      <c r="AQ181" s="199">
        <f t="shared" si="164"/>
        <v>132265.63125000001</v>
      </c>
      <c r="AR181" s="76">
        <f>(AQ181-AQ180)/(C181/24)</f>
        <v>1287.3999999999974</v>
      </c>
      <c r="AS181" s="230">
        <f>(AQ181-AQ180)/C181</f>
        <v>53.641666666666559</v>
      </c>
      <c r="AT181" s="72">
        <f>AR181/(AVERAGE(AN181)*(AVERAGE(D$164,D$156,D$177,D$178,D$150,D$151,D$162,D$169,D$170))*AVERAGE(E$164,E$156,E$177,E$178,E$150,E$151,E$162,E$169,E$170)*0.0001)</f>
        <v>687.24854087611527</v>
      </c>
      <c r="AU181" s="66"/>
      <c r="AV181" s="143">
        <f>AR181/(AVERAGE(AN181)*AVERAGE(D$164,D$156,D$177,D$178,D$150,D$151,D$162,D$169,D$170)*0.01)</f>
        <v>536.55020805178071</v>
      </c>
      <c r="AW181" s="511">
        <f t="shared" si="157"/>
        <v>0.91111111111110921</v>
      </c>
      <c r="AX181" s="66"/>
      <c r="AY181" s="66"/>
      <c r="AZ181" s="66"/>
      <c r="BA181" s="66"/>
      <c r="BB181" s="66"/>
      <c r="BC181" s="63"/>
      <c r="BD181" s="64"/>
      <c r="BE181" s="147"/>
      <c r="BF181" s="86"/>
      <c r="BG181" s="65"/>
      <c r="BH181" s="66"/>
      <c r="BI181" s="66"/>
      <c r="BJ181" s="66"/>
      <c r="BK181" s="66"/>
      <c r="BL181" s="86"/>
      <c r="BM181" s="86"/>
      <c r="BN181" s="63"/>
      <c r="BO181" s="87"/>
      <c r="BP181" s="87"/>
      <c r="BQ181" s="87"/>
      <c r="BR181" s="66"/>
      <c r="BS181" s="64"/>
      <c r="BT181" s="66"/>
      <c r="BU181" s="67"/>
      <c r="BV181" s="65"/>
      <c r="BW181" s="66">
        <v>51</v>
      </c>
      <c r="BX181" s="72">
        <v>1687</v>
      </c>
      <c r="BY181" s="443">
        <f t="shared" si="165"/>
        <v>44.444444444444443</v>
      </c>
      <c r="BZ181" s="443">
        <f>CB$3/BY181</f>
        <v>16.785</v>
      </c>
      <c r="CA181" s="72">
        <v>883</v>
      </c>
      <c r="CB181" s="76">
        <f t="shared" si="142"/>
        <v>73487.284375000003</v>
      </c>
      <c r="CC181" s="289">
        <f>(CB181-CB180)/((C181/24))</f>
        <v>545.13888888888891</v>
      </c>
      <c r="CD181" s="289">
        <f>(CB181-CB180)/(C181)</f>
        <v>22.71412037037037</v>
      </c>
      <c r="CE181" s="72">
        <f>CC181/(AVERAGE(BY180,BY181)*(AVERAGE(D$164,D$156,D$177,D$178,D$150,D$151,D$162,D$169,D$170))*AVERAGE(E$164,E$156,E$177,E$178,E$150,E$151,E$162,E$169,E$70)*0.0001)</f>
        <v>541.22970067897143</v>
      </c>
      <c r="CF181" s="66"/>
      <c r="CG181" s="72">
        <f>CC181/(BY181*AVERAGE((D$164,D$156,D$177,D$178,D$150,D$151,D$162,D$169,D$170))*0.01)</f>
        <v>333.70805622732769</v>
      </c>
      <c r="CH181" s="433">
        <f t="shared" si="143"/>
        <v>0.73074918081620499</v>
      </c>
      <c r="CI181" s="66"/>
      <c r="CJ181" s="66"/>
      <c r="CK181" s="66"/>
      <c r="CL181" s="66"/>
      <c r="CM181" s="66"/>
      <c r="CN181" s="110" t="s">
        <v>140</v>
      </c>
    </row>
    <row r="182" spans="1:112" ht="15">
      <c r="A182" s="141">
        <f t="shared" si="146"/>
        <v>41337</v>
      </c>
      <c r="B182" s="307">
        <v>0.41666666666666669</v>
      </c>
      <c r="C182" s="304">
        <f t="shared" si="116"/>
        <v>23</v>
      </c>
      <c r="D182" s="65"/>
      <c r="E182" s="66"/>
      <c r="F182" s="66"/>
      <c r="G182" s="66"/>
      <c r="H182" s="66"/>
      <c r="I182" s="66"/>
      <c r="J182" s="86"/>
      <c r="K182" s="86"/>
      <c r="L182" s="63"/>
      <c r="M182" s="86"/>
      <c r="N182" s="144"/>
      <c r="O182" s="261"/>
      <c r="P182" s="702"/>
      <c r="Q182" s="700"/>
      <c r="R182" s="714"/>
      <c r="S182" s="86"/>
      <c r="T182" s="86"/>
      <c r="U182" s="213"/>
      <c r="V182" s="65"/>
      <c r="W182" s="66"/>
      <c r="X182" s="66"/>
      <c r="Y182" s="66"/>
      <c r="Z182" s="66"/>
      <c r="AA182" s="86"/>
      <c r="AB182" s="86"/>
      <c r="AC182" s="63"/>
      <c r="AD182" s="87"/>
      <c r="AE182" s="87"/>
      <c r="AF182" s="87"/>
      <c r="AG182" s="66"/>
      <c r="AH182" s="66"/>
      <c r="AI182" s="64"/>
      <c r="AJ182" s="63"/>
      <c r="AK182" s="65"/>
      <c r="AL182" s="66">
        <v>35.6</v>
      </c>
      <c r="AM182" s="72">
        <v>2959</v>
      </c>
      <c r="AN182" s="89">
        <f>(AM182-AM181)*AQ$1/((C182)/24)</f>
        <v>54.09391304347826</v>
      </c>
      <c r="AO182" s="488">
        <f>AQ$3/AN182</f>
        <v>26.121238425925927</v>
      </c>
      <c r="AP182" s="72">
        <v>1584</v>
      </c>
      <c r="AQ182" s="199">
        <f t="shared" si="164"/>
        <v>133231.18125000002</v>
      </c>
      <c r="AR182" s="76">
        <f>(AQ182-AQ181)/(C182/24)</f>
        <v>1007.5304347826269</v>
      </c>
      <c r="AS182" s="230">
        <f>(AQ182-AQ181)/C182</f>
        <v>41.980434782609457</v>
      </c>
      <c r="AT182" s="72">
        <f>AR182/(AVERAGE(AN182)*(AVERAGE(D$164,D$156,D$177,D$178,D$150,D$151,D$162,D$169,D$170))*AVERAGE(E$164,E$156,E$177,E$178,E$150,E$151,E$162,E$169,E$170)*0.0001)</f>
        <v>649.06806638301077</v>
      </c>
      <c r="AU182" s="66"/>
      <c r="AV182" s="143">
        <f>AR182/(AVERAGE(AN182)*AVERAGE(D$164,D$156,D$177,D$178,D$150,D$151,D$162,D$169,D$170)*0.01)</f>
        <v>506.74186316002528</v>
      </c>
      <c r="AW182" s="511">
        <f t="shared" si="157"/>
        <v>0.71304347826088244</v>
      </c>
      <c r="AX182" s="66"/>
      <c r="AY182" s="66"/>
      <c r="AZ182" s="66"/>
      <c r="BA182" s="66"/>
      <c r="BB182" s="66"/>
      <c r="BC182" s="63" t="s">
        <v>139</v>
      </c>
      <c r="BD182" s="64"/>
      <c r="BE182" s="147"/>
      <c r="BF182" s="213"/>
      <c r="BG182" s="65"/>
      <c r="BH182" s="66"/>
      <c r="BI182" s="66"/>
      <c r="BJ182" s="66"/>
      <c r="BK182" s="66"/>
      <c r="BL182" s="86"/>
      <c r="BM182" s="86"/>
      <c r="BN182" s="63"/>
      <c r="BO182" s="87"/>
      <c r="BP182" s="87"/>
      <c r="BQ182" s="87"/>
      <c r="BR182" s="66"/>
      <c r="BS182" s="64"/>
      <c r="BT182" s="66"/>
      <c r="BU182" s="67"/>
      <c r="BV182" s="65"/>
      <c r="BW182" s="66">
        <v>51</v>
      </c>
      <c r="BX182" s="72">
        <v>1710</v>
      </c>
      <c r="BY182" s="443">
        <f t="shared" si="165"/>
        <v>48</v>
      </c>
      <c r="BZ182" s="443">
        <f>CB$3/BY182</f>
        <v>15.541666666666666</v>
      </c>
      <c r="CA182" s="72">
        <v>894</v>
      </c>
      <c r="CB182" s="76">
        <f t="shared" si="142"/>
        <v>74161.893750000003</v>
      </c>
      <c r="CC182" s="289">
        <f>(CB182-CB181)/((C182/24))</f>
        <v>703.94021739130437</v>
      </c>
      <c r="CD182" s="289">
        <f>(CB182-CB181)/(C182)</f>
        <v>29.330842391304348</v>
      </c>
      <c r="CE182" s="72">
        <f>CC182/(AVERAGE(BY181,BY182)*(AVERAGE(D$164,D$156,D$177,D$178,D$150,D$151,D$162,D$169,D$170))*AVERAGE(E$164,E$156,E$177,E$178,E$150,E$151,E$162,E$169,E$170)*0.0001)</f>
        <v>530.71996332544143</v>
      </c>
      <c r="CF182" s="66"/>
      <c r="CG182" s="72">
        <f>CC182/(BY182*AVERAGE((D$164,D$156,D$177,D$178,D$150,D$151,D$162,D$169,D$170))*0.01)</f>
        <v>398.99876288050046</v>
      </c>
      <c r="CH182" s="433">
        <f t="shared" si="143"/>
        <v>0.94361959435831688</v>
      </c>
      <c r="CI182" s="66"/>
      <c r="CJ182" s="66"/>
      <c r="CK182" s="66"/>
      <c r="CL182" s="66"/>
      <c r="CM182" s="66"/>
      <c r="CN182" s="110" t="s">
        <v>139</v>
      </c>
    </row>
    <row r="183" spans="1:112" s="337" customFormat="1">
      <c r="A183" s="309">
        <f t="shared" si="146"/>
        <v>41338</v>
      </c>
      <c r="B183" s="310">
        <v>0.3125</v>
      </c>
      <c r="C183" s="304">
        <f t="shared" si="116"/>
        <v>21.5</v>
      </c>
      <c r="D183" s="339">
        <v>3.63</v>
      </c>
      <c r="E183" s="365">
        <v>76.64</v>
      </c>
      <c r="F183" s="319"/>
      <c r="G183" s="365">
        <v>6.31</v>
      </c>
      <c r="H183" s="319"/>
      <c r="I183" s="319"/>
      <c r="J183" s="317"/>
      <c r="K183" s="317"/>
      <c r="L183" s="320"/>
      <c r="M183" s="317"/>
      <c r="N183" s="319"/>
      <c r="O183" s="316"/>
      <c r="P183" s="702"/>
      <c r="Q183" s="542"/>
      <c r="R183" s="424"/>
      <c r="S183" s="317"/>
      <c r="T183" s="317"/>
      <c r="U183" s="317"/>
      <c r="V183" s="339">
        <v>2.34</v>
      </c>
      <c r="W183" s="365">
        <v>65.63</v>
      </c>
      <c r="X183" s="319"/>
      <c r="Y183" s="319"/>
      <c r="Z183" s="319"/>
      <c r="AA183" s="317"/>
      <c r="AB183" s="317"/>
      <c r="AC183" s="320"/>
      <c r="AD183" s="391">
        <f>D178*(100-E178)/(100-W183)</f>
        <v>2.4761041606051784</v>
      </c>
      <c r="AE183" s="387">
        <f>D178-V183</f>
        <v>1.7300000000000004</v>
      </c>
      <c r="AF183" s="393">
        <f>100*(AVERAGE(D164,D170,D177,D169,D162,D156,D151,D178,D133,D150)-V183)/AVERAGE(D164,D170,D177,D169,D162,D156,D151,D178,D133,D150)</f>
        <v>35.501653803748624</v>
      </c>
      <c r="AG183" s="393">
        <f>100*(1-((100-AVERAGE(E164,E170,E177,E169,E162,E156,E151,E178,E133,E150))/(100-W183)))</f>
        <v>36.150712830957218</v>
      </c>
      <c r="AH183" s="387">
        <f>E178-W183</f>
        <v>13.460000000000008</v>
      </c>
      <c r="AI183" s="393">
        <f>100*(1-((V183*W183)/(AVERAGE(D164,D170,D177,D169,D162,D156,D151,D178,D133,D150)*AVERAGE(E164,E170,E177,E169,E162,E156,E151,E178,E133,E150))))</f>
        <v>45.76867002933858</v>
      </c>
      <c r="AJ183" s="389">
        <f>100*100*((AVERAGE(E164,E170,E177,E169,E162,E156,E151,E178,E133,E150)-W183)/((100-W183)*AVERAGE(E164,E170,E177,E169,E162,E156,E151,E178,E133,E150)))</f>
        <v>46.314410135106293</v>
      </c>
      <c r="AK183" s="318">
        <v>7.09</v>
      </c>
      <c r="AL183" s="470">
        <v>34.299999999999997</v>
      </c>
      <c r="AM183" s="72">
        <v>2985</v>
      </c>
      <c r="AN183" s="89">
        <f>(AM183-AM182)*AQ$1/((C183)/24)</f>
        <v>62.690232558139535</v>
      </c>
      <c r="AO183" s="488">
        <f>AQ$3/AN183</f>
        <v>22.539396367521366</v>
      </c>
      <c r="AP183" s="313">
        <v>1600</v>
      </c>
      <c r="AQ183" s="493">
        <f t="shared" si="164"/>
        <v>134196.73125000001</v>
      </c>
      <c r="AR183" s="76">
        <f>(AQ183-AQ182)/(C183/24)</f>
        <v>1077.8232558139405</v>
      </c>
      <c r="AS183" s="230">
        <f>(AQ183-AQ182)/C183</f>
        <v>44.909302325580853</v>
      </c>
      <c r="AT183" s="72">
        <f>AR183/(AVERAGE(AN183)*(AVERAGE(D$164,D$156,D$177,D$178,D$150,D$151,D$162,D$169,D$170))*AVERAGE(E$164,E$156,E$177,E$178,E$150,E$151,E$162,E$169,E$170)*0.0001)</f>
        <v>599.13975358429968</v>
      </c>
      <c r="AU183" s="313">
        <f>(AQ183-AQ154)/(AVERAGE(AN154:AN183)*((AVERAGE(D177,D170,D169,D156,D178,D162,D164)*AVERAGE(E177,E170,E169,E156,E178,E162,E164))-(V183*W183))*0.0001*(SUM(C154:C183)/24))</f>
        <v>1295.0497505491792</v>
      </c>
      <c r="AV183" s="143">
        <f>AR183/(AVERAGE(AN183)*AVERAGE(D$164,D$156,D$177,D$178,D$150,D$151,D$162,D$169,D$170)*0.01)</f>
        <v>467.76171984000928</v>
      </c>
      <c r="AW183" s="511">
        <f t="shared" si="157"/>
        <v>0.76279069767440943</v>
      </c>
      <c r="AX183" s="319">
        <v>69.5</v>
      </c>
      <c r="AY183" s="319">
        <v>30.5</v>
      </c>
      <c r="AZ183" s="319">
        <v>0</v>
      </c>
      <c r="BA183" s="319">
        <v>59</v>
      </c>
      <c r="BB183" s="319">
        <v>95</v>
      </c>
      <c r="BC183" s="320"/>
      <c r="BD183" s="368"/>
      <c r="BE183" s="330"/>
      <c r="BF183" s="317"/>
      <c r="BG183" s="339">
        <v>2.37</v>
      </c>
      <c r="BH183" s="365">
        <v>64.33</v>
      </c>
      <c r="BI183" s="319"/>
      <c r="BJ183" s="319"/>
      <c r="BK183" s="319"/>
      <c r="BL183" s="317"/>
      <c r="BM183" s="317"/>
      <c r="BN183" s="320"/>
      <c r="BO183" s="376">
        <f>D178*(100-E178)/(100-BH183)</f>
        <v>2.3858620689655168</v>
      </c>
      <c r="BP183" s="372">
        <f>D178-BG183</f>
        <v>1.7000000000000002</v>
      </c>
      <c r="BQ183" s="374">
        <f>100*(AVERAGE(D164,D170,D177,D169,D162,D156,D151,D178,D133,D150)-BG183)/AVERAGE(D164,D170,D177,D169,D162,D156,D151,D178,D133,D150)</f>
        <v>34.674751929437704</v>
      </c>
      <c r="BR183" s="367">
        <f>100*(1-((100-AVERAGE(E164,E170,E177,E169,E162,E156,E151,E178,E133,E150))/(100-BH183)))</f>
        <v>38.477712363330511</v>
      </c>
      <c r="BS183" s="375">
        <f>E178-BH183</f>
        <v>14.760000000000005</v>
      </c>
      <c r="BT183" s="312">
        <f>100*(1-((BG183*BH183)/(AVERAGE(D164,D170,D177,D169,D162,D156,D151,D178,D133,D150)*AVERAGE(E164,E170,E177,E169,E162,E156,E151,E178,E133,E150))))</f>
        <v>46.161383532390332</v>
      </c>
      <c r="BU183" s="412">
        <f>100*100*((AVERAGE(E164,E170,E177,E169,E162,E156,E151,E178,E133,E150)-BH183)/((100-BH183)*AVERAGE(E164,E170,E177,E169,E162,E156,E151,E178,E133,E150)))</f>
        <v>49.295640719147414</v>
      </c>
      <c r="BV183" s="318">
        <v>7.38</v>
      </c>
      <c r="BW183" s="365">
        <v>48.2</v>
      </c>
      <c r="BX183" s="72">
        <v>1725</v>
      </c>
      <c r="BY183" s="443">
        <f t="shared" si="165"/>
        <v>33.488372093023251</v>
      </c>
      <c r="BZ183" s="443">
        <f>CB$3/BY183</f>
        <v>22.276388888888892</v>
      </c>
      <c r="CA183" s="313">
        <v>903</v>
      </c>
      <c r="CB183" s="348">
        <f t="shared" si="142"/>
        <v>74713.846875000003</v>
      </c>
      <c r="CC183" s="289">
        <f>(CB183-CB182)/((C183/24))</f>
        <v>616.13372093023258</v>
      </c>
      <c r="CD183" s="289">
        <f>(CB183-CB182)/(C183)</f>
        <v>25.672238372093023</v>
      </c>
      <c r="CE183" s="72">
        <f>CC183/(AVERAGE(BY182,BY183)*(AVERAGE(D$164,D$156,D$177,D$178,D$150,D$151,D$162,D$169,D$170))*AVERAGE(E$164,E$156,E$177,E$178,E$150,E$151,E$162,E$169,E$170)*0.0001)</f>
        <v>526.97474150039693</v>
      </c>
      <c r="CF183" s="313">
        <f>(CB183-CB154)/(AVERAGE(BY154:BY183)*((AVERAGE(D177,D169,D170,D178,D156,D162,D164)*AVERAGE(E177,E169,E156,E170,E178,E162,E164))-(BG183*BH183))*0.0001*(SUM(C154:C183)/24))</f>
        <v>1276.4726783463186</v>
      </c>
      <c r="CG183" s="72">
        <f>CC183/(BY183*AVERAGE((D$164,D$156,D$177,D$178,D$150,D$151,D$162,D$169,D$170))*0.01)</f>
        <v>500.56208434099165</v>
      </c>
      <c r="CH183" s="433">
        <f t="shared" si="143"/>
        <v>0.8259165159922689</v>
      </c>
      <c r="CI183" s="319">
        <v>65.7</v>
      </c>
      <c r="CJ183" s="319">
        <v>30.3</v>
      </c>
      <c r="CK183" s="319">
        <v>0</v>
      </c>
      <c r="CL183" s="319">
        <v>104</v>
      </c>
      <c r="CM183" s="319">
        <v>235</v>
      </c>
      <c r="CN183" s="442" t="s">
        <v>141</v>
      </c>
    </row>
    <row r="184" spans="1:112" s="69" customFormat="1" ht="15">
      <c r="A184" s="141">
        <f t="shared" si="146"/>
        <v>41339</v>
      </c>
      <c r="B184" s="307">
        <v>0.33333333333333331</v>
      </c>
      <c r="C184" s="304">
        <f t="shared" si="116"/>
        <v>24.5</v>
      </c>
      <c r="D184" s="65"/>
      <c r="E184" s="66"/>
      <c r="F184" s="72"/>
      <c r="G184" s="66"/>
      <c r="H184" s="66"/>
      <c r="I184" s="66"/>
      <c r="J184" s="86"/>
      <c r="K184" s="86"/>
      <c r="L184" s="63"/>
      <c r="M184" s="86"/>
      <c r="N184" s="66"/>
      <c r="O184" s="261"/>
      <c r="P184" s="713"/>
      <c r="Q184" s="700"/>
      <c r="R184" s="714"/>
      <c r="S184" s="86"/>
      <c r="T184" s="86"/>
      <c r="U184" s="213"/>
      <c r="V184" s="65"/>
      <c r="W184" s="66"/>
      <c r="X184" s="76"/>
      <c r="Y184" s="66"/>
      <c r="Z184" s="66"/>
      <c r="AA184" s="86"/>
      <c r="AB184" s="86"/>
      <c r="AC184" s="63"/>
      <c r="AD184" s="93"/>
      <c r="AE184" s="83"/>
      <c r="AF184" s="88"/>
      <c r="AG184" s="85"/>
      <c r="AH184" s="75"/>
      <c r="AI184" s="83"/>
      <c r="AJ184" s="195"/>
      <c r="AK184" s="65"/>
      <c r="AL184" s="66">
        <v>35.6</v>
      </c>
      <c r="AM184" s="72">
        <v>3013</v>
      </c>
      <c r="AN184" s="89">
        <f t="shared" ref="AN184:AN200" si="166">(AM184-AM183)*AQ$1/((C184)/24)</f>
        <v>59.245714285714293</v>
      </c>
      <c r="AO184" s="488">
        <f t="shared" ref="AO184:AO200" si="167">AQ$3/AN184</f>
        <v>23.849826388888886</v>
      </c>
      <c r="AP184" s="72">
        <v>1616</v>
      </c>
      <c r="AQ184" s="76">
        <f t="shared" si="164"/>
        <v>135162.28125</v>
      </c>
      <c r="AR184" s="76">
        <f t="shared" ref="AR184:AR190" si="168">(AQ184-AQ183)/(C184/24)</f>
        <v>945.84489795917239</v>
      </c>
      <c r="AS184" s="230">
        <f t="shared" ref="AS184:AS190" si="169">(AQ184-AQ183)/C184</f>
        <v>39.41020408163218</v>
      </c>
      <c r="AT184" s="72">
        <f>AR184/(AVERAGE(AN184)*(AVERAGE(D$164,D$156,D$177,D$178,D$183,D$151,D$162,D$169,D$170))*AVERAGE(E$164,E$156,E$177,E$178,E$183,E$151,E$162,E$169,E$170)*0.0001)</f>
        <v>552.86453465854117</v>
      </c>
      <c r="AU184" s="85"/>
      <c r="AV184" s="143">
        <f>AR184/(AVERAGE(AN184)*AVERAGE(D$164,D$156,D$177,D$178,D$183,D$151,D$162,D$169,D$170)*0.01)</f>
        <v>431.35105287986795</v>
      </c>
      <c r="AW184" s="511">
        <f t="shared" si="157"/>
        <v>0.66938775510203286</v>
      </c>
      <c r="AX184" s="66"/>
      <c r="AY184" s="66"/>
      <c r="AZ184" s="66"/>
      <c r="BA184" s="66"/>
      <c r="BB184" s="66"/>
      <c r="BC184" s="102"/>
      <c r="BD184" s="64"/>
      <c r="BE184" s="147"/>
      <c r="BF184" s="213"/>
      <c r="BG184" s="65"/>
      <c r="BH184" s="66"/>
      <c r="BI184" s="76"/>
      <c r="BJ184" s="66"/>
      <c r="BK184" s="76"/>
      <c r="BL184" s="86"/>
      <c r="BM184" s="86"/>
      <c r="BN184" s="63"/>
      <c r="BO184" s="93"/>
      <c r="BP184" s="83"/>
      <c r="BQ184" s="88"/>
      <c r="BR184" s="85"/>
      <c r="BS184" s="194"/>
      <c r="BT184" s="75"/>
      <c r="BU184" s="179"/>
      <c r="BV184" s="65"/>
      <c r="BW184" s="66">
        <v>51</v>
      </c>
      <c r="BX184" s="72">
        <v>1741</v>
      </c>
      <c r="BY184" s="443">
        <f t="shared" ref="BY184:BY200" si="170">(BX184-BX183)*CB$1/((C184)/24)</f>
        <v>31.346938775510207</v>
      </c>
      <c r="BZ184" s="443">
        <f t="shared" ref="BZ184:BZ200" si="171">CB$3/BY184</f>
        <v>23.798177083333332</v>
      </c>
      <c r="CA184" s="72">
        <v>912</v>
      </c>
      <c r="CB184" s="76">
        <f t="shared" si="142"/>
        <v>75265.8</v>
      </c>
      <c r="CC184" s="289">
        <f t="shared" ref="CC184:CC190" si="172">(CB184-CB183)/((C184/24))</f>
        <v>540.6887755102041</v>
      </c>
      <c r="CD184" s="289">
        <f t="shared" ref="CD184:CD190" si="173">(CB184-CB183)/(C184)</f>
        <v>22.528698979591837</v>
      </c>
      <c r="CE184" s="72">
        <f>CC184/(AVERAGE(BY183,BY184)*(AVERAGE(D$164,D$156,D$177,D$178,D$183,D$151,D$162,D$169,D$170))*AVERAGE(E$164,E$156,E$177,E$178,E$183,E$151,E$162,E$169,E$170)*0.0001)</f>
        <v>577.59243694659415</v>
      </c>
      <c r="CF184" s="161"/>
      <c r="CG184" s="72">
        <f>CC184/(BY184*AVERAGE((D$164,D$156,D$177,D$178,D$183,D$151,D$162,D$169,D$170))*0.01)</f>
        <v>466.0366748911739</v>
      </c>
      <c r="CH184" s="433">
        <f t="shared" si="143"/>
        <v>0.72478388138097061</v>
      </c>
      <c r="CI184" s="66"/>
      <c r="CJ184" s="66"/>
      <c r="CK184" s="66"/>
      <c r="CL184" s="66"/>
      <c r="CM184" s="66"/>
      <c r="CN184" s="111"/>
    </row>
    <row r="185" spans="1:112" s="337" customFormat="1" ht="15">
      <c r="A185" s="309">
        <f t="shared" si="146"/>
        <v>41340</v>
      </c>
      <c r="B185" s="310">
        <f>B184</f>
        <v>0.33333333333333331</v>
      </c>
      <c r="C185" s="311">
        <f t="shared" ref="C185:C248" si="174">((A185-A184)+(B185-B184))*24</f>
        <v>24</v>
      </c>
      <c r="D185" s="318">
        <v>4.2</v>
      </c>
      <c r="E185" s="319">
        <v>75.7</v>
      </c>
      <c r="F185" s="313">
        <v>50200</v>
      </c>
      <c r="G185" s="319"/>
      <c r="H185" s="319"/>
      <c r="I185" s="313">
        <v>5095</v>
      </c>
      <c r="J185" s="317"/>
      <c r="K185" s="317"/>
      <c r="L185" s="320"/>
      <c r="M185" s="317"/>
      <c r="N185" s="319"/>
      <c r="O185" s="316"/>
      <c r="P185" s="713"/>
      <c r="Q185" s="700"/>
      <c r="R185" s="714"/>
      <c r="S185" s="317"/>
      <c r="T185" s="317"/>
      <c r="U185" s="541"/>
      <c r="V185" s="318">
        <v>2.4</v>
      </c>
      <c r="W185" s="319">
        <v>65.7</v>
      </c>
      <c r="X185" s="348">
        <v>26000</v>
      </c>
      <c r="Y185" s="319"/>
      <c r="Z185" s="348">
        <v>1183</v>
      </c>
      <c r="AA185" s="317"/>
      <c r="AB185" s="317"/>
      <c r="AC185" s="320"/>
      <c r="AD185" s="391">
        <f>D183*(100-E183)/(100-W185)</f>
        <v>2.4722099125364432</v>
      </c>
      <c r="AE185" s="387">
        <f>D183-V185</f>
        <v>1.23</v>
      </c>
      <c r="AF185" s="393">
        <f>100*(AVERAGE(D164,D170,D177,D169,D162,D156,D151,D178,D133,D150)-V185)/AVERAGE(D164,D170,D177,D169,D162,D156,D151,D178,D133,D150)</f>
        <v>33.847850055126798</v>
      </c>
      <c r="AG185" s="393">
        <f>100*(1-((100-AVERAGE(E164,E170,E177,E169,E162,E156,E151,E178,E133,E150))/(100-W185)))</f>
        <v>36.02040816326528</v>
      </c>
      <c r="AH185" s="387">
        <f>E183-W185</f>
        <v>10.939999999999998</v>
      </c>
      <c r="AI185" s="393">
        <f>100*(1-((V185*W185)/(AVERAGE(D164,D170,D177,D169,D162,D156,D151,D178,D133,D150)*AVERAGE(E164,E170,E177,E169,E162,E156,E151,E178,E133,E150))))</f>
        <v>44.318797625031451</v>
      </c>
      <c r="AJ185" s="389">
        <f>100*100*((AVERAGE(E164,E170,E177,E169,E162,E156,E151,E178,E133,E150)-W185)/((100-W185)*AVERAGE(E164,E170,E177,E169,E162,E156,E151,E178,E133,E150)))</f>
        <v>46.147470582621587</v>
      </c>
      <c r="AK185" s="318"/>
      <c r="AL185" s="319">
        <v>35.6</v>
      </c>
      <c r="AM185" s="313">
        <v>3041</v>
      </c>
      <c r="AN185" s="327">
        <f t="shared" si="166"/>
        <v>60.480000000000004</v>
      </c>
      <c r="AO185" s="489">
        <f t="shared" si="167"/>
        <v>23.363095238095237</v>
      </c>
      <c r="AP185" s="313">
        <v>1633</v>
      </c>
      <c r="AQ185" s="348">
        <f t="shared" si="164"/>
        <v>136188.17812500001</v>
      </c>
      <c r="AR185" s="348">
        <f t="shared" si="168"/>
        <v>1025.8968750000058</v>
      </c>
      <c r="AS185" s="512">
        <f t="shared" si="169"/>
        <v>42.74570312500024</v>
      </c>
      <c r="AT185" s="313">
        <f>AR185/(AVERAGE(AN185)*(AVERAGE(D$164,D$156,D$177,D$178,D$183,D$151,D$162,D$169,D$170))*AVERAGE(E$164,E$156,E$177,E$178,E$183,E$151,E$162,E$169,E$170)*0.0001)</f>
        <v>587.41856807471038</v>
      </c>
      <c r="AU185" s="313">
        <f>(AQ185-AQ156)/(AVERAGE(AN156:AN185)*((AVERAGE(D177,D170,D169,D183,D178,D162,D164)*AVERAGE(E177,E170,E169,E183,E178,E162,E164))-(V185*W185))*0.0001*(SUM(C156:C185)/24))</f>
        <v>1355.4438960108282</v>
      </c>
      <c r="AV185" s="328">
        <f>AR185/(AVERAGE(AN185)*AVERAGE(D$164,D$156,D$177,D$178,D$183,D$151,D$162,D$169,D$170)*0.01)</f>
        <v>458.31049368486771</v>
      </c>
      <c r="AW185" s="477">
        <f t="shared" si="157"/>
        <v>0.7260416666666708</v>
      </c>
      <c r="AX185" s="319"/>
      <c r="AY185" s="319"/>
      <c r="AZ185" s="319"/>
      <c r="BA185" s="319"/>
      <c r="BB185" s="319"/>
      <c r="BC185" s="320"/>
      <c r="BD185" s="368"/>
      <c r="BE185" s="330"/>
      <c r="BF185" s="541"/>
      <c r="BG185" s="318">
        <v>2.5</v>
      </c>
      <c r="BH185" s="319">
        <v>62.8</v>
      </c>
      <c r="BI185" s="348">
        <v>24200</v>
      </c>
      <c r="BJ185" s="348"/>
      <c r="BK185" s="348">
        <v>2805</v>
      </c>
      <c r="BL185" s="317"/>
      <c r="BM185" s="317"/>
      <c r="BN185" s="320"/>
      <c r="BO185" s="376">
        <f>D183*(100-E183)/(100-BH185)</f>
        <v>2.2794838709677414</v>
      </c>
      <c r="BP185" s="372">
        <f>D183-BG185</f>
        <v>1.1299999999999999</v>
      </c>
      <c r="BQ185" s="374">
        <f>100*(AVERAGE(D164,D170,D177,D169,D162,D156,D151,D178,D133,D150)-BG185)/AVERAGE(D164,D170,D177,D169,D162,D156,D151,D178,D133,D150)</f>
        <v>31.091510474090409</v>
      </c>
      <c r="BR185" s="367">
        <f>100*(1-((100-AVERAGE(E164,E170,E177,E169,E162,E156,E151,E178,E133,E150))/(100-BH185)))</f>
        <v>41.008064516129018</v>
      </c>
      <c r="BS185" s="375">
        <f>E183-BH185</f>
        <v>13.840000000000003</v>
      </c>
      <c r="BT185" s="312">
        <f>100*(1-((BG185*BH185)/(AVERAGE(D164,D170,D177,D169,D162,D156,D151,D178,D133,D150)*AVERAGE(E164,E170,E177,E169,E162,E156,E151,E178,E133,E150))))</f>
        <v>44.558924575912847</v>
      </c>
      <c r="BU185" s="412">
        <f>100*100*((AVERAGE(E164,E170,E177,E169,E162,E156,E151,E178,E133,E150)-BH185)/((100-BH185)*AVERAGE(E164,E170,E177,E169,E162,E156,E151,E178,E133,E150)))</f>
        <v>52.537396087539591</v>
      </c>
      <c r="BV185" s="318"/>
      <c r="BW185" s="319">
        <v>51.1</v>
      </c>
      <c r="BX185" s="313">
        <v>1757</v>
      </c>
      <c r="BY185" s="462">
        <f t="shared" si="170"/>
        <v>32</v>
      </c>
      <c r="BZ185" s="462">
        <f t="shared" si="171"/>
        <v>23.3125</v>
      </c>
      <c r="CA185" s="313">
        <v>922</v>
      </c>
      <c r="CB185" s="348">
        <f t="shared" si="142"/>
        <v>75879.081250000003</v>
      </c>
      <c r="CC185" s="334">
        <f t="shared" si="172"/>
        <v>613.28125</v>
      </c>
      <c r="CD185" s="334">
        <f t="shared" si="173"/>
        <v>25.553385416666668</v>
      </c>
      <c r="CE185" s="313">
        <f>CC185/(AVERAGE(BY184,BY185)*(AVERAGE(D$164,D$156,D$177,D$178,D$183,D$151,D$162,D$169,D$170))*AVERAGE(E$164,E$156,E$177,E$178,E$183,E$151,E$162,E$169,E$170)*0.0001)</f>
        <v>670.53244377472697</v>
      </c>
      <c r="CF185" s="313">
        <f>(CB185-CB156)/(AVERAGE(BY156:BY185)*((AVERAGE(D177,D169,D170,D178,D183,D162,D164)*AVERAGE(E177,E169,E183,E170,E178,E162,E164))-(BG185*BH185))*0.0001*(SUM(C156:C185)/24))</f>
        <v>1337.8251620073711</v>
      </c>
      <c r="CG185" s="313">
        <f>CC185/(BY185*AVERAGE((D$164,D$156,D$177,D$178,D$183,D$151,D$162,D$169,D$170))*0.01)</f>
        <v>517.81852765685983</v>
      </c>
      <c r="CH185" s="477">
        <f t="shared" si="143"/>
        <v>0.82209282841823061</v>
      </c>
      <c r="CI185" s="319"/>
      <c r="CJ185" s="319"/>
      <c r="CK185" s="319"/>
      <c r="CL185" s="319"/>
      <c r="CM185" s="319"/>
      <c r="CN185" s="442"/>
    </row>
    <row r="186" spans="1:112" ht="15">
      <c r="A186" s="141">
        <f t="shared" si="146"/>
        <v>41341</v>
      </c>
      <c r="B186" s="307">
        <f>B185</f>
        <v>0.33333333333333331</v>
      </c>
      <c r="C186" s="304">
        <f t="shared" si="174"/>
        <v>24</v>
      </c>
      <c r="D186" s="65"/>
      <c r="E186" s="66"/>
      <c r="F186" s="66"/>
      <c r="G186" s="66"/>
      <c r="H186" s="66"/>
      <c r="I186" s="66"/>
      <c r="J186" s="86"/>
      <c r="K186" s="86"/>
      <c r="L186" s="63"/>
      <c r="M186" s="86"/>
      <c r="N186" s="66"/>
      <c r="O186" s="261"/>
      <c r="P186" s="699"/>
      <c r="Q186" s="700"/>
      <c r="R186" s="715"/>
      <c r="S186" s="86"/>
      <c r="T186" s="86"/>
      <c r="U186" s="86"/>
      <c r="V186" s="65"/>
      <c r="W186" s="66"/>
      <c r="X186" s="66"/>
      <c r="Y186" s="66"/>
      <c r="Z186" s="66"/>
      <c r="AA186" s="86"/>
      <c r="AB186" s="86"/>
      <c r="AC186" s="63"/>
      <c r="AD186" s="87"/>
      <c r="AE186" s="87"/>
      <c r="AF186" s="87"/>
      <c r="AG186" s="66"/>
      <c r="AH186" s="66"/>
      <c r="AI186" s="64"/>
      <c r="AJ186" s="63"/>
      <c r="AK186" s="65"/>
      <c r="AL186" s="66">
        <v>35.700000000000003</v>
      </c>
      <c r="AM186" s="72">
        <v>3068</v>
      </c>
      <c r="AN186" s="89">
        <f t="shared" si="166"/>
        <v>58.320000000000007</v>
      </c>
      <c r="AO186" s="488">
        <f t="shared" si="167"/>
        <v>24.228395061728392</v>
      </c>
      <c r="AP186" s="72">
        <v>1649</v>
      </c>
      <c r="AQ186" s="76">
        <f t="shared" si="164"/>
        <v>137153.72812500002</v>
      </c>
      <c r="AR186" s="76">
        <f t="shared" si="168"/>
        <v>965.55000000001746</v>
      </c>
      <c r="AS186" s="230">
        <f t="shared" si="169"/>
        <v>40.231250000000728</v>
      </c>
      <c r="AT186" s="72">
        <f>AR186/(AVERAGE(AN186)*(AVERAGE(D$164,D$156,D$177,D$178,D$183,D$185,D$162,D$169,D$170))*AVERAGE(E$164,E$156,E$177,E$178,E$183,E$185,E$162,E$169,E$170)*0.0001)</f>
        <v>553.61472126967192</v>
      </c>
      <c r="AU186" s="66"/>
      <c r="AV186" s="143">
        <f>AR186/(AVERAGE(AN186)*AVERAGE(D$164,D$156,D$177,D$178,D$183,D$185,D$162,D$169,D$170)*0.01)</f>
        <v>431.64724689928249</v>
      </c>
      <c r="AW186" s="511">
        <f t="shared" si="157"/>
        <v>0.68333333333334567</v>
      </c>
      <c r="AX186" s="66"/>
      <c r="AY186" s="66"/>
      <c r="AZ186" s="66"/>
      <c r="BA186" s="66"/>
      <c r="BB186" s="66"/>
      <c r="BC186" s="63"/>
      <c r="BD186" s="64"/>
      <c r="BE186" s="147"/>
      <c r="BF186" s="86"/>
      <c r="BG186" s="65"/>
      <c r="BH186" s="66"/>
      <c r="BI186" s="66"/>
      <c r="BJ186" s="66"/>
      <c r="BK186" s="66"/>
      <c r="BL186" s="86"/>
      <c r="BM186" s="86"/>
      <c r="BN186" s="63"/>
      <c r="BO186" s="87"/>
      <c r="BP186" s="87"/>
      <c r="BQ186" s="87"/>
      <c r="BR186" s="66"/>
      <c r="BS186" s="64"/>
      <c r="BT186" s="66"/>
      <c r="BU186" s="67"/>
      <c r="BV186" s="65"/>
      <c r="BW186" s="66">
        <v>51</v>
      </c>
      <c r="BX186" s="72">
        <v>1772</v>
      </c>
      <c r="BY186" s="443">
        <f t="shared" si="170"/>
        <v>30</v>
      </c>
      <c r="BZ186" s="443">
        <f t="shared" si="171"/>
        <v>24.866666666666667</v>
      </c>
      <c r="CA186" s="72">
        <v>931</v>
      </c>
      <c r="CB186" s="76">
        <f t="shared" si="142"/>
        <v>76431.034375000003</v>
      </c>
      <c r="CC186" s="289">
        <f t="shared" si="172"/>
        <v>551.953125</v>
      </c>
      <c r="CD186" s="289">
        <f t="shared" si="173"/>
        <v>22.998046875</v>
      </c>
      <c r="CE186" s="72">
        <f>CC186/(AVERAGE(BY185,BY186)*(AVERAGE(D$164,D$156,D$177,D$178,D$183,D$185,D$162,D$169,D$170))*AVERAGE(E$164,E$156,E$177,E$178,E$183,E$185,E$162,E$169,E$170)*0.0001)</f>
        <v>595.37539113726928</v>
      </c>
      <c r="CF186" s="66"/>
      <c r="CG186" s="72">
        <f>CC186/(BY186*AVERAGE((D$164,D$156,D$177,D$178,D$183,D$151,D$162,D$169,D$170))*0.01)</f>
        <v>497.10578655058549</v>
      </c>
      <c r="CH186" s="433">
        <f t="shared" si="143"/>
        <v>0.73988354557640745</v>
      </c>
      <c r="CI186" s="66"/>
      <c r="CJ186" s="66"/>
      <c r="CK186" s="66"/>
      <c r="CL186" s="66"/>
      <c r="CM186" s="66"/>
      <c r="CN186" s="110"/>
    </row>
    <row r="187" spans="1:112" s="69" customFormat="1" ht="15">
      <c r="A187" s="141">
        <f t="shared" si="146"/>
        <v>41342</v>
      </c>
      <c r="B187" s="307">
        <f>B186</f>
        <v>0.33333333333333331</v>
      </c>
      <c r="C187" s="304">
        <f t="shared" si="174"/>
        <v>24</v>
      </c>
      <c r="D187" s="65"/>
      <c r="E187" s="66"/>
      <c r="F187" s="66"/>
      <c r="G187" s="66"/>
      <c r="H187" s="66"/>
      <c r="I187" s="66"/>
      <c r="J187" s="86"/>
      <c r="K187" s="86"/>
      <c r="L187" s="63"/>
      <c r="M187" s="86"/>
      <c r="N187" s="66"/>
      <c r="O187" s="261"/>
      <c r="P187" s="702"/>
      <c r="Q187" s="700"/>
      <c r="R187" s="424"/>
      <c r="S187" s="86"/>
      <c r="T187" s="86"/>
      <c r="U187" s="86"/>
      <c r="V187" s="65"/>
      <c r="W187" s="66"/>
      <c r="X187" s="76"/>
      <c r="Y187" s="66"/>
      <c r="Z187" s="66"/>
      <c r="AA187" s="86"/>
      <c r="AB187" s="86"/>
      <c r="AC187" s="63"/>
      <c r="AD187" s="93"/>
      <c r="AE187" s="83"/>
      <c r="AF187" s="227"/>
      <c r="AG187" s="85"/>
      <c r="AH187" s="75"/>
      <c r="AI187" s="228"/>
      <c r="AJ187" s="195"/>
      <c r="AK187" s="65"/>
      <c r="AL187" s="66">
        <v>35.6</v>
      </c>
      <c r="AM187" s="72">
        <v>3096</v>
      </c>
      <c r="AN187" s="89">
        <f t="shared" si="166"/>
        <v>60.480000000000004</v>
      </c>
      <c r="AO187" s="488">
        <f t="shared" si="167"/>
        <v>23.363095238095237</v>
      </c>
      <c r="AP187" s="72">
        <v>1666</v>
      </c>
      <c r="AQ187" s="76">
        <f t="shared" si="164"/>
        <v>138179.625</v>
      </c>
      <c r="AR187" s="76">
        <f t="shared" si="168"/>
        <v>1025.8968749999767</v>
      </c>
      <c r="AS187" s="230">
        <f t="shared" si="169"/>
        <v>42.745703124999032</v>
      </c>
      <c r="AT187" s="72">
        <f>AR187/(AVERAGE(AN187)*(AVERAGE(D$164,D$156,D$177,D$178,D$183,D$185,D$162,D$169,D$170))*AVERAGE(E$164,E$156,E$177,E$178,E$183,E$185,E$162,E$169,E$170)*0.0001)</f>
        <v>567.20793987225238</v>
      </c>
      <c r="AU187" s="85"/>
      <c r="AV187" s="143">
        <f>AR187/(AVERAGE(AN187)*AVERAGE(D$164,D$156,D$177,D$178,D$183,D$185,D$162,D$169,D$170)*0.01)</f>
        <v>442.24572840795224</v>
      </c>
      <c r="AW187" s="511">
        <f t="shared" si="157"/>
        <v>0.72604166666665015</v>
      </c>
      <c r="AX187" s="66"/>
      <c r="AY187" s="66"/>
      <c r="AZ187" s="66"/>
      <c r="BA187" s="66"/>
      <c r="BB187" s="66"/>
      <c r="BC187" s="63"/>
      <c r="BD187" s="64"/>
      <c r="BE187" s="147"/>
      <c r="BF187" s="86"/>
      <c r="BG187" s="65"/>
      <c r="BH187" s="66"/>
      <c r="BI187" s="76"/>
      <c r="BJ187" s="66"/>
      <c r="BK187" s="76"/>
      <c r="BL187" s="86"/>
      <c r="BM187" s="86"/>
      <c r="BN187" s="63"/>
      <c r="BO187" s="93"/>
      <c r="BP187" s="83"/>
      <c r="BQ187" s="227"/>
      <c r="BR187" s="85"/>
      <c r="BS187" s="194"/>
      <c r="BT187" s="177"/>
      <c r="BU187" s="179"/>
      <c r="BV187" s="65"/>
      <c r="BW187" s="66">
        <v>51.1</v>
      </c>
      <c r="BX187" s="72">
        <v>1785</v>
      </c>
      <c r="BY187" s="443">
        <f t="shared" si="170"/>
        <v>26</v>
      </c>
      <c r="BZ187" s="443">
        <f t="shared" si="171"/>
        <v>28.692307692307693</v>
      </c>
      <c r="CA187" s="72">
        <v>940</v>
      </c>
      <c r="CB187" s="76">
        <f t="shared" si="142"/>
        <v>76982.987500000003</v>
      </c>
      <c r="CC187" s="289">
        <f t="shared" si="172"/>
        <v>551.953125</v>
      </c>
      <c r="CD187" s="289">
        <f t="shared" si="173"/>
        <v>22.998046875</v>
      </c>
      <c r="CE187" s="72">
        <f>CC187/(AVERAGE(BY186,BY187)*(AVERAGE(D$164,D$156,D$177,D$178,D$183,D$185,D$162,D$169,D$170))*AVERAGE(E$164,E$156,E$177,E$178,E$183,E$185,E$162,E$169,E$170)*0.0001)</f>
        <v>659.16561161626237</v>
      </c>
      <c r="CF187" s="161"/>
      <c r="CG187" s="72">
        <f>CC187/(BY187*AVERAGE((D$164,D$156,D$177,D$178,D$183,D$151,D$162,D$169,D$170))*0.01)</f>
        <v>573.58359986606013</v>
      </c>
      <c r="CH187" s="433">
        <f t="shared" si="143"/>
        <v>0.73988354557640745</v>
      </c>
      <c r="CI187" s="66"/>
      <c r="CJ187" s="66"/>
      <c r="CK187" s="66"/>
      <c r="CL187" s="66"/>
      <c r="CM187" s="66"/>
      <c r="CN187" s="111"/>
    </row>
    <row r="188" spans="1:112" s="127" customFormat="1" ht="15">
      <c r="A188" s="141">
        <f t="shared" si="146"/>
        <v>41343</v>
      </c>
      <c r="B188" s="307">
        <f>B187</f>
        <v>0.33333333333333331</v>
      </c>
      <c r="C188" s="304">
        <f t="shared" si="174"/>
        <v>24</v>
      </c>
      <c r="D188" s="65"/>
      <c r="E188" s="66"/>
      <c r="F188" s="66"/>
      <c r="G188" s="66"/>
      <c r="H188" s="66"/>
      <c r="I188" s="66"/>
      <c r="J188" s="86"/>
      <c r="K188" s="86"/>
      <c r="L188" s="63"/>
      <c r="M188" s="86"/>
      <c r="N188" s="66"/>
      <c r="O188" s="261"/>
      <c r="P188" s="713"/>
      <c r="Q188" s="700"/>
      <c r="R188" s="714"/>
      <c r="S188" s="86"/>
      <c r="T188" s="86"/>
      <c r="U188" s="213"/>
      <c r="V188" s="65"/>
      <c r="W188" s="66"/>
      <c r="X188" s="72"/>
      <c r="Y188" s="66"/>
      <c r="Z188" s="66"/>
      <c r="AA188" s="86"/>
      <c r="AB188" s="86"/>
      <c r="AC188" s="63"/>
      <c r="AD188" s="93"/>
      <c r="AE188" s="83"/>
      <c r="AF188" s="88"/>
      <c r="AG188" s="85"/>
      <c r="AH188" s="71"/>
      <c r="AI188" s="83"/>
      <c r="AJ188" s="108"/>
      <c r="AK188" s="65"/>
      <c r="AL188" s="66">
        <v>35.6</v>
      </c>
      <c r="AM188" s="72">
        <v>3124</v>
      </c>
      <c r="AN188" s="89">
        <f t="shared" si="166"/>
        <v>60.480000000000004</v>
      </c>
      <c r="AO188" s="488">
        <f t="shared" si="167"/>
        <v>23.363095238095237</v>
      </c>
      <c r="AP188" s="72">
        <v>1683</v>
      </c>
      <c r="AQ188" s="76">
        <f t="shared" si="164"/>
        <v>139205.52187500001</v>
      </c>
      <c r="AR188" s="76">
        <f t="shared" si="168"/>
        <v>1025.8968750000058</v>
      </c>
      <c r="AS188" s="230">
        <f t="shared" si="169"/>
        <v>42.74570312500024</v>
      </c>
      <c r="AT188" s="72">
        <f>AR188/(AVERAGE(AN188)*(AVERAGE(D$164,D$156,D$177,D$178,D$183,D$185,D$162,D$169,D$170))*AVERAGE(E$164,E$156,E$177,E$178,E$183,E$185,E$162,E$169,E$170)*0.0001)</f>
        <v>567.20793987226853</v>
      </c>
      <c r="AU188" s="85"/>
      <c r="AV188" s="143">
        <f>AR188/(AVERAGE(AN188)*AVERAGE(D$164,D$156,D$177,D$178,D$183,D$185,D$162,D$169,D$170)*0.01)</f>
        <v>442.24572840796475</v>
      </c>
      <c r="AW188" s="511">
        <f t="shared" si="157"/>
        <v>0.7260416666666708</v>
      </c>
      <c r="AX188" s="66"/>
      <c r="AY188" s="66"/>
      <c r="AZ188" s="66"/>
      <c r="BA188" s="66"/>
      <c r="BB188" s="66"/>
      <c r="BC188" s="63"/>
      <c r="BD188" s="64"/>
      <c r="BE188" s="147"/>
      <c r="BF188" s="86"/>
      <c r="BG188" s="65"/>
      <c r="BH188" s="66"/>
      <c r="BI188" s="72"/>
      <c r="BJ188" s="66"/>
      <c r="BK188" s="66"/>
      <c r="BL188" s="86"/>
      <c r="BM188" s="86"/>
      <c r="BN188" s="63"/>
      <c r="BO188" s="93"/>
      <c r="BP188" s="83"/>
      <c r="BQ188" s="88"/>
      <c r="BR188" s="85"/>
      <c r="BS188" s="92"/>
      <c r="BT188" s="71"/>
      <c r="BU188" s="229"/>
      <c r="BV188" s="65"/>
      <c r="BW188" s="66">
        <v>51</v>
      </c>
      <c r="BX188" s="72">
        <v>1805</v>
      </c>
      <c r="BY188" s="443">
        <f t="shared" si="170"/>
        <v>40</v>
      </c>
      <c r="BZ188" s="443">
        <f t="shared" si="171"/>
        <v>18.649999999999999</v>
      </c>
      <c r="CA188" s="72">
        <v>950</v>
      </c>
      <c r="CB188" s="76">
        <f t="shared" si="142"/>
        <v>77596.268750000003</v>
      </c>
      <c r="CC188" s="289">
        <f t="shared" si="172"/>
        <v>613.28125</v>
      </c>
      <c r="CD188" s="289">
        <f t="shared" si="173"/>
        <v>25.553385416666668</v>
      </c>
      <c r="CE188" s="72">
        <f>CC188/(AVERAGE(BY187,BY188)*(AVERAGE(D$164,D$156,D$177,D$178,D$183,D$185,D$162,D$169,D$170))*AVERAGE(E$164,E$156,E$177,E$178,E$183,E$185,E$162,E$169,E$170)*0.0001)</f>
        <v>621.43559344294101</v>
      </c>
      <c r="CF188" s="161"/>
      <c r="CG188" s="72">
        <f>CC188/(BY188*AVERAGE((D$164,D$156,D$177,D$178,D$183,D$151,D$162,D$169,D$170))*0.01)</f>
        <v>414.25482212548792</v>
      </c>
      <c r="CH188" s="433">
        <f t="shared" si="143"/>
        <v>0.82209282841823061</v>
      </c>
      <c r="CI188" s="66"/>
      <c r="CJ188" s="66"/>
      <c r="CK188" s="66"/>
      <c r="CL188" s="66"/>
      <c r="CM188" s="66"/>
      <c r="CN188" s="126"/>
    </row>
    <row r="189" spans="1:112" s="127" customFormat="1" ht="15">
      <c r="A189" s="141">
        <f t="shared" si="146"/>
        <v>41344</v>
      </c>
      <c r="B189" s="307">
        <f>B188</f>
        <v>0.33333333333333331</v>
      </c>
      <c r="C189" s="304">
        <f t="shared" si="174"/>
        <v>24</v>
      </c>
      <c r="D189" s="65"/>
      <c r="E189" s="66"/>
      <c r="F189" s="66"/>
      <c r="G189" s="66"/>
      <c r="H189" s="66"/>
      <c r="I189" s="66"/>
      <c r="J189" s="86"/>
      <c r="K189" s="86"/>
      <c r="L189" s="63"/>
      <c r="M189" s="86"/>
      <c r="N189" s="66"/>
      <c r="O189" s="264"/>
      <c r="P189" s="699"/>
      <c r="Q189" s="703"/>
      <c r="R189" s="715"/>
      <c r="S189" s="86"/>
      <c r="T189" s="86"/>
      <c r="U189" s="86"/>
      <c r="V189" s="65"/>
      <c r="W189" s="66"/>
      <c r="X189" s="72"/>
      <c r="Y189" s="66"/>
      <c r="Z189" s="66"/>
      <c r="AA189" s="86"/>
      <c r="AB189" s="86"/>
      <c r="AC189" s="63"/>
      <c r="AD189" s="93"/>
      <c r="AE189" s="83"/>
      <c r="AF189" s="88"/>
      <c r="AG189" s="85"/>
      <c r="AH189" s="71"/>
      <c r="AI189" s="83"/>
      <c r="AJ189" s="108"/>
      <c r="AK189" s="65"/>
      <c r="AL189" s="66">
        <v>35.6</v>
      </c>
      <c r="AM189" s="72">
        <v>3152</v>
      </c>
      <c r="AN189" s="89">
        <f t="shared" si="166"/>
        <v>60.480000000000004</v>
      </c>
      <c r="AO189" s="488">
        <f t="shared" si="167"/>
        <v>23.363095238095237</v>
      </c>
      <c r="AP189" s="72">
        <v>1700</v>
      </c>
      <c r="AQ189" s="76">
        <f t="shared" si="164"/>
        <v>140231.41875000001</v>
      </c>
      <c r="AR189" s="76">
        <f t="shared" si="168"/>
        <v>1025.8968750000058</v>
      </c>
      <c r="AS189" s="230">
        <f t="shared" si="169"/>
        <v>42.74570312500024</v>
      </c>
      <c r="AT189" s="72">
        <f>AR189/(AVERAGE(AN189)*(AVERAGE(D$164,D$156,D$177,D$178,D$183,D$185,D$162,D$169,D$170))*AVERAGE(E$164,E$156,E$177,E$178,E$183,E$185,E$162,E$169,E$170)*0.0001)</f>
        <v>567.20793987226853</v>
      </c>
      <c r="AU189" s="85"/>
      <c r="AV189" s="143">
        <f>AR189/(AVERAGE(AN189)*AVERAGE(D$164,D$156,D$177,D$178,D$183,D$185,D$162,D$169,D$170)*0.01)</f>
        <v>442.24572840796475</v>
      </c>
      <c r="AW189" s="511">
        <f t="shared" si="157"/>
        <v>0.7260416666666708</v>
      </c>
      <c r="AX189" s="66"/>
      <c r="AY189" s="66"/>
      <c r="AZ189" s="66"/>
      <c r="BA189" s="66"/>
      <c r="BB189" s="66"/>
      <c r="BC189" s="63"/>
      <c r="BD189" s="64"/>
      <c r="BE189" s="147"/>
      <c r="BF189" s="213"/>
      <c r="BG189" s="65"/>
      <c r="BH189" s="66"/>
      <c r="BI189" s="72"/>
      <c r="BJ189" s="66"/>
      <c r="BK189" s="66"/>
      <c r="BL189" s="86"/>
      <c r="BM189" s="86"/>
      <c r="BN189" s="63"/>
      <c r="BO189" s="93"/>
      <c r="BP189" s="83"/>
      <c r="BQ189" s="88"/>
      <c r="BR189" s="85"/>
      <c r="BS189" s="92"/>
      <c r="BT189" s="71"/>
      <c r="BU189" s="229"/>
      <c r="BV189" s="65"/>
      <c r="BW189" s="66">
        <v>51</v>
      </c>
      <c r="BX189" s="72">
        <v>1820</v>
      </c>
      <c r="BY189" s="443">
        <f t="shared" si="170"/>
        <v>30</v>
      </c>
      <c r="BZ189" s="443">
        <f t="shared" si="171"/>
        <v>24.866666666666667</v>
      </c>
      <c r="CA189" s="72">
        <v>959</v>
      </c>
      <c r="CB189" s="76">
        <f t="shared" si="142"/>
        <v>78148.221875000003</v>
      </c>
      <c r="CC189" s="289">
        <f t="shared" si="172"/>
        <v>551.953125</v>
      </c>
      <c r="CD189" s="289">
        <f t="shared" si="173"/>
        <v>22.998046875</v>
      </c>
      <c r="CE189" s="72">
        <f>CC189/(AVERAGE(BY188,BY189)*(AVERAGE(D$164,D$156,D$177,D$178,D$183,D$185,D$162,D$169,D$170))*AVERAGE(E$164,E$156,E$177,E$178,E$183,E$185,E$162,E$169,E$170)*0.0001)</f>
        <v>527.33248929300987</v>
      </c>
      <c r="CF189" s="161"/>
      <c r="CG189" s="72">
        <f>CC189/(BY189*AVERAGE((D$164,D$156,D$177,D$178,D$183,D$151,D$162,D$169,D$170))*0.01)</f>
        <v>497.10578655058549</v>
      </c>
      <c r="CH189" s="433">
        <f t="shared" si="143"/>
        <v>0.73988354557640745</v>
      </c>
      <c r="CI189" s="66"/>
      <c r="CJ189" s="66"/>
      <c r="CK189" s="66"/>
      <c r="CL189" s="66"/>
      <c r="CM189" s="66"/>
      <c r="CN189" s="126"/>
    </row>
    <row r="190" spans="1:112" s="479" customFormat="1" ht="15">
      <c r="A190" s="475">
        <f t="shared" si="146"/>
        <v>41345</v>
      </c>
      <c r="B190" s="416">
        <v>0.32291666666666669</v>
      </c>
      <c r="C190" s="311">
        <f t="shared" si="174"/>
        <v>23.75</v>
      </c>
      <c r="D190" s="339">
        <v>3.53</v>
      </c>
      <c r="E190" s="365">
        <v>75.12</v>
      </c>
      <c r="F190" s="452"/>
      <c r="G190" s="365">
        <v>6.31</v>
      </c>
      <c r="H190" s="452"/>
      <c r="I190" s="452"/>
      <c r="J190" s="471"/>
      <c r="K190" s="471"/>
      <c r="L190" s="476"/>
      <c r="M190" s="471"/>
      <c r="N190" s="452"/>
      <c r="O190" s="472"/>
      <c r="P190" s="716"/>
      <c r="Q190" s="700"/>
      <c r="R190" s="714"/>
      <c r="S190" s="471"/>
      <c r="T190" s="471"/>
      <c r="U190" s="471"/>
      <c r="V190" s="339">
        <v>2.44</v>
      </c>
      <c r="W190" s="365">
        <v>65.819999999999993</v>
      </c>
      <c r="X190" s="452"/>
      <c r="Y190" s="452"/>
      <c r="Z190" s="452"/>
      <c r="AA190" s="471"/>
      <c r="AB190" s="471"/>
      <c r="AC190" s="476"/>
      <c r="AD190" s="391">
        <f>D183*(100-E183)/(100-W190)</f>
        <v>2.4808894090111169</v>
      </c>
      <c r="AE190" s="387">
        <f>D183-V190</f>
        <v>1.19</v>
      </c>
      <c r="AF190" s="393">
        <f>100*(AVERAGE(D164,D170,D177,D169,D162,D156,D151,D178,D183,D185)-V190)/AVERAGE(D164,D170,D177,D169,D162,D156,D151,D178,D183,D185)</f>
        <v>34.950679818715017</v>
      </c>
      <c r="AG190" s="393">
        <f>100*(1-((100-AVERAGE(E164,E170,E177,E169,E162,E156,E151,E178,E183,E185))/(100-W190)))</f>
        <v>35.017554125219441</v>
      </c>
      <c r="AH190" s="387">
        <f>E183-W190</f>
        <v>10.820000000000007</v>
      </c>
      <c r="AI190" s="393">
        <f>100*(1-((V190*W190)/(AVERAGE(D164,D170,D177,D169,D162,D156,D151,D178,D183,D185)*AVERAGE(E164,E170,E177,E169,E162,E156,E151,E178,E183,E185))))</f>
        <v>44.959489717926985</v>
      </c>
      <c r="AJ190" s="389">
        <f>100*100*((AVERAGE(E164,E170,E177,E169,E162,E156,E151,E178,E183,E185)-W190)/((100-W190)*AVERAGE(E164,E170,E177,E169,E162,E156,E151,E178,E183,E185)))</f>
        <v>45.016074413116819</v>
      </c>
      <c r="AK190" s="619">
        <v>7.1</v>
      </c>
      <c r="AL190" s="470">
        <v>33.4</v>
      </c>
      <c r="AM190" s="441">
        <v>3181</v>
      </c>
      <c r="AN190" s="489">
        <f t="shared" si="166"/>
        <v>63.299368421052627</v>
      </c>
      <c r="AO190" s="489">
        <f t="shared" si="167"/>
        <v>22.322497605363985</v>
      </c>
      <c r="AP190" s="441">
        <v>1717</v>
      </c>
      <c r="AQ190" s="334">
        <f t="shared" si="164"/>
        <v>141257.31562500002</v>
      </c>
      <c r="AR190" s="334">
        <f t="shared" si="168"/>
        <v>1036.69578947369</v>
      </c>
      <c r="AS190" s="512">
        <f t="shared" si="169"/>
        <v>43.195657894737089</v>
      </c>
      <c r="AT190" s="72">
        <f>AR190/(AVERAGE(AN190)*(AVERAGE(D$164,D$156,D$177,D$178,D$183,D$185,D$162,D$169,D$170))*AVERAGE(E$164,E$156,E$177,E$178,E$183,E$185,E$162,E$169,E$170)*0.0001)</f>
        <v>547.64904539391432</v>
      </c>
      <c r="AU190" s="313">
        <f>(AQ190-AQ161)/(AVERAGE(AN161:AN190)*((AVERAGE(D177,D170,D169,D183,D178,D185,D164)*AVERAGE(E177,E170,E169,E183,E178,E185,E164))-(V190*W190))*0.0001*(SUM(C161:C190)/24))</f>
        <v>1348.8930917386431</v>
      </c>
      <c r="AV190" s="143">
        <f>AR190/(AVERAGE(AN190)*AVERAGE(D$164,D$156,D$177,D$178,D$183,D$185,D$162,D$169,D$170)*0.01)</f>
        <v>426.99587570424183</v>
      </c>
      <c r="AW190" s="511">
        <f t="shared" si="157"/>
        <v>0.73368421052631982</v>
      </c>
      <c r="AX190" s="452">
        <v>66.7</v>
      </c>
      <c r="AY190" s="452">
        <v>30.3</v>
      </c>
      <c r="AZ190" s="452">
        <v>0</v>
      </c>
      <c r="BA190" s="452">
        <v>47</v>
      </c>
      <c r="BB190" s="452">
        <v>105</v>
      </c>
      <c r="BC190" s="415" t="s">
        <v>139</v>
      </c>
      <c r="BD190" s="478"/>
      <c r="BE190" s="390"/>
      <c r="BF190" s="471"/>
      <c r="BG190" s="339">
        <v>2.38</v>
      </c>
      <c r="BH190" s="380">
        <v>64.7</v>
      </c>
      <c r="BI190" s="452"/>
      <c r="BJ190" s="452"/>
      <c r="BK190" s="452"/>
      <c r="BL190" s="471"/>
      <c r="BM190" s="471"/>
      <c r="BN190" s="476"/>
      <c r="BO190" s="376">
        <f>D183*(100-E183)/(100-BH190)</f>
        <v>2.4021756373937677</v>
      </c>
      <c r="BP190" s="372">
        <f>D183-BG190</f>
        <v>1.25</v>
      </c>
      <c r="BQ190" s="374">
        <f>100*(AVERAGE(D164,D170,D177,D169,D162,D156,D151,D178,D183,D185)-BG190)/AVERAGE(D164,D170,D177,D169,D162,D156,D151,D178,D183,D185)</f>
        <v>36.550253265795796</v>
      </c>
      <c r="BR190" s="367">
        <f>100*(1-((100-AVERAGE(E164,E170,E177,E169,E162,E156,E151,E178,E183,E185))/(100-BH190)))</f>
        <v>37.079320113314452</v>
      </c>
      <c r="BS190" s="375">
        <f>E183-BH190</f>
        <v>11.939999999999998</v>
      </c>
      <c r="BT190" s="312">
        <f>100*(1-((BG190*BH190)/(AVERAGE(D164,D170,D177,D169,D162,D156,D151,D178,D183,D185)*AVERAGE(E164,E170,E177,E169,E162,E156,E151,E178,E183,E185))))</f>
        <v>47.226489430343463</v>
      </c>
      <c r="BU190" s="412">
        <f>100*100*((AVERAGE(E164,E170,E177,E169,E162,E156,E151,E178,E183,E185)-BH190)/((100-BH190)*AVERAGE(E164,E170,E177,E169,E162,E156,E151,E178,E183,E185)))</f>
        <v>47.666533974359417</v>
      </c>
      <c r="BV190" s="318">
        <v>7.31</v>
      </c>
      <c r="BW190" s="365">
        <v>47.4</v>
      </c>
      <c r="BX190" s="441">
        <v>1836</v>
      </c>
      <c r="BY190" s="462">
        <f t="shared" si="170"/>
        <v>32.336842105263159</v>
      </c>
      <c r="BZ190" s="462">
        <f t="shared" si="171"/>
        <v>23.069661458333332</v>
      </c>
      <c r="CA190" s="441">
        <v>968</v>
      </c>
      <c r="CB190" s="334">
        <f t="shared" si="142"/>
        <v>78700.175000000003</v>
      </c>
      <c r="CC190" s="334">
        <f t="shared" si="172"/>
        <v>557.76315789473688</v>
      </c>
      <c r="CD190" s="334">
        <f t="shared" si="173"/>
        <v>23.24013157894737</v>
      </c>
      <c r="CE190" s="313">
        <f>CC190/(AVERAGE(BY189,BY190)*(AVERAGE(D$164,D$156,D$177,D$178,D$183,D$185,D$162,D$169,D$170))*AVERAGE(E$164,E$156,E$177,E$178,E$183,E$185,E$162,E$169,E$170)*0.0001)</f>
        <v>598.39147721192614</v>
      </c>
      <c r="CF190" s="313">
        <f>(CB190-CB161)/(AVERAGE(BY161:BY190)*((AVERAGE(D177,D169,D170,D178,D183,D185,D164)*AVERAGE(E177,E169,E183,E170,E178,E185,E164))-(BG190*BH190))*0.0001*(SUM(C161:C190)/24))</f>
        <v>1279.3014653597409</v>
      </c>
      <c r="CG190" s="72">
        <f>CC190/(BY190*AVERAGE((D$164,D$156,D$177,D$178,D$183,D$151,D$162,D$169,D$170))*0.01)</f>
        <v>466.03667489117396</v>
      </c>
      <c r="CH190" s="604">
        <f t="shared" si="143"/>
        <v>0.74767179342458023</v>
      </c>
      <c r="CI190" s="452">
        <v>66.2</v>
      </c>
      <c r="CJ190" s="452">
        <v>30.7</v>
      </c>
      <c r="CK190" s="452">
        <v>0</v>
      </c>
      <c r="CL190" s="452">
        <v>105</v>
      </c>
      <c r="CM190" s="452">
        <v>270</v>
      </c>
      <c r="CN190" s="605"/>
      <c r="CQ190" s="479" t="s">
        <v>70</v>
      </c>
    </row>
    <row r="191" spans="1:112" ht="28.5">
      <c r="A191" s="141">
        <f t="shared" si="146"/>
        <v>41346</v>
      </c>
      <c r="B191" s="307">
        <v>0.33333333333333331</v>
      </c>
      <c r="C191" s="304">
        <f t="shared" si="174"/>
        <v>24.249999999999996</v>
      </c>
      <c r="D191" s="65"/>
      <c r="E191" s="66"/>
      <c r="F191" s="66"/>
      <c r="G191" s="66"/>
      <c r="H191" s="66"/>
      <c r="I191" s="66"/>
      <c r="J191" s="86"/>
      <c r="K191" s="86"/>
      <c r="L191" s="63"/>
      <c r="M191" s="86"/>
      <c r="N191" s="66"/>
      <c r="O191" s="265"/>
      <c r="P191" s="713"/>
      <c r="Q191" s="700"/>
      <c r="R191" s="714"/>
      <c r="S191" s="86"/>
      <c r="T191" s="86"/>
      <c r="U191" s="86"/>
      <c r="V191" s="65"/>
      <c r="W191" s="66"/>
      <c r="X191" s="66"/>
      <c r="Y191" s="66"/>
      <c r="Z191" s="66"/>
      <c r="AA191" s="86"/>
      <c r="AB191" s="86"/>
      <c r="AC191" s="63"/>
      <c r="AD191" s="87"/>
      <c r="AE191" s="87"/>
      <c r="AF191" s="87"/>
      <c r="AG191" s="66"/>
      <c r="AH191" s="66"/>
      <c r="AI191" s="64"/>
      <c r="AJ191" s="63"/>
      <c r="AK191" s="65"/>
      <c r="AL191" s="66">
        <v>35.6</v>
      </c>
      <c r="AM191" s="72">
        <v>3209</v>
      </c>
      <c r="AN191" s="89">
        <f t="shared" si="166"/>
        <v>59.856494845360835</v>
      </c>
      <c r="AO191" s="488">
        <f t="shared" si="167"/>
        <v>23.60646081349206</v>
      </c>
      <c r="AP191" s="72">
        <v>1733</v>
      </c>
      <c r="AQ191" s="76">
        <f t="shared" si="164"/>
        <v>142222.86562500003</v>
      </c>
      <c r="AR191" s="76">
        <f t="shared" ref="AR191:AR200" si="175">(AQ191-AQ190)/(C191/24)</f>
        <v>955.59587628867723</v>
      </c>
      <c r="AS191" s="230">
        <f t="shared" ref="AS191:AS200" si="176">(AQ191-AQ190)/C191</f>
        <v>39.816494845361554</v>
      </c>
      <c r="AT191" s="72">
        <f>AR191/(AVERAGE(AN191)*(AVERAGE(D$164,D$190,D$177,D$178,D$183,D$185,D$162,D$169,D$170))*AVERAGE(E$164,E$190,E$177,E$178,E$183,E$185,E$162,E$169,E$170)*0.0001)</f>
        <v>536.28019726003436</v>
      </c>
      <c r="AU191" s="66"/>
      <c r="AV191" s="143">
        <f>AR191/(AVERAGE(AN191)*AVERAGE(D$164,D$190,D$177,D$178,D$183,D$185,D$162,D$169,D$170)*0.01)</f>
        <v>417.07702674684566</v>
      </c>
      <c r="AW191" s="511">
        <f t="shared" si="157"/>
        <v>0.6762886597938268</v>
      </c>
      <c r="AX191" s="66"/>
      <c r="AY191" s="66"/>
      <c r="AZ191" s="66"/>
      <c r="BA191" s="66"/>
      <c r="BB191" s="66"/>
      <c r="BC191" s="63"/>
      <c r="BD191" s="64"/>
      <c r="BE191" s="147"/>
      <c r="BF191" s="86"/>
      <c r="BG191" s="65"/>
      <c r="BH191" s="66"/>
      <c r="BI191" s="66"/>
      <c r="BJ191" s="66"/>
      <c r="BK191" s="66"/>
      <c r="BL191" s="86"/>
      <c r="BM191" s="86"/>
      <c r="BN191" s="63"/>
      <c r="BO191" s="87"/>
      <c r="BP191" s="87"/>
      <c r="BQ191" s="87"/>
      <c r="BR191" s="66"/>
      <c r="BS191" s="64"/>
      <c r="BT191" s="66"/>
      <c r="BU191" s="67"/>
      <c r="BV191" s="65"/>
      <c r="BW191" s="66">
        <v>51</v>
      </c>
      <c r="BX191" s="72">
        <v>1852</v>
      </c>
      <c r="BY191" s="443">
        <f t="shared" si="170"/>
        <v>31.67010309278351</v>
      </c>
      <c r="BZ191" s="443">
        <f t="shared" si="171"/>
        <v>23.555338541666664</v>
      </c>
      <c r="CA191" s="72">
        <v>977</v>
      </c>
      <c r="CB191" s="76">
        <f t="shared" si="142"/>
        <v>79252.128125000003</v>
      </c>
      <c r="CC191" s="289">
        <f>(CB191-CB190)/((C191/24))</f>
        <v>546.26288659793818</v>
      </c>
      <c r="CD191" s="289">
        <f>(CB191-CB190)/(C191)</f>
        <v>22.760953608247426</v>
      </c>
      <c r="CE191" s="72">
        <f>CC191/(AVERAGE(BY190,BY191)*(AVERAGE(D$164,D$190,D$177,D$178,D$183,D$185,D$162,D$169,D$170))*AVERAGE(E$164,E$190,E$177,E$178,E$183,E$185,E$162,E$169,E$170)*0.0001)</f>
        <v>573.36788668324493</v>
      </c>
      <c r="CF191" s="66"/>
      <c r="CG191" s="72">
        <f>CC191/(BY191*AVERAGE((D$164,D$190,D$177,D$178,D$183,D$185,D$162,D$169,D$170))*0.01)</f>
        <v>450.61485168722783</v>
      </c>
      <c r="CH191" s="433">
        <f t="shared" si="143"/>
        <v>0.73225588015809406</v>
      </c>
      <c r="CI191" s="66"/>
      <c r="CJ191" s="66"/>
      <c r="CK191" s="66"/>
      <c r="CL191" s="66"/>
      <c r="CM191" s="66"/>
      <c r="CN191" s="110"/>
      <c r="CT191" s="128" t="s">
        <v>68</v>
      </c>
      <c r="CX191" s="128" t="s">
        <v>68</v>
      </c>
      <c r="CY191" t="s">
        <v>46</v>
      </c>
      <c r="DG191" s="128" t="s">
        <v>68</v>
      </c>
      <c r="DH191" t="s">
        <v>46</v>
      </c>
    </row>
    <row r="192" spans="1:112" s="337" customFormat="1" ht="26.25" thickBot="1">
      <c r="A192" s="309">
        <f t="shared" si="146"/>
        <v>41347</v>
      </c>
      <c r="B192" s="310">
        <f>B191</f>
        <v>0.33333333333333331</v>
      </c>
      <c r="C192" s="311">
        <f t="shared" si="174"/>
        <v>24</v>
      </c>
      <c r="D192" s="318">
        <v>3.4</v>
      </c>
      <c r="E192" s="319">
        <v>76</v>
      </c>
      <c r="F192" s="313">
        <v>73300</v>
      </c>
      <c r="G192" s="319"/>
      <c r="H192" s="319">
        <v>38.9</v>
      </c>
      <c r="I192" s="313">
        <v>3267</v>
      </c>
      <c r="J192" s="313">
        <v>1709</v>
      </c>
      <c r="K192" s="317">
        <v>31.2</v>
      </c>
      <c r="L192" s="320">
        <v>244</v>
      </c>
      <c r="M192" s="317"/>
      <c r="N192" s="319"/>
      <c r="O192" s="472"/>
      <c r="P192" s="713"/>
      <c r="Q192" s="700"/>
      <c r="R192" s="714"/>
      <c r="S192" s="534"/>
      <c r="T192" s="534"/>
      <c r="U192" s="541"/>
      <c r="V192" s="318">
        <v>2.5</v>
      </c>
      <c r="W192" s="319">
        <v>64.8</v>
      </c>
      <c r="X192" s="348">
        <v>26400</v>
      </c>
      <c r="Y192" s="319">
        <v>34.5</v>
      </c>
      <c r="Z192" s="348">
        <v>1445</v>
      </c>
      <c r="AA192" s="317">
        <v>406</v>
      </c>
      <c r="AB192" s="317">
        <v>65.7</v>
      </c>
      <c r="AC192" s="320">
        <v>170</v>
      </c>
      <c r="AD192" s="391">
        <f>D190*(100-E190)/(100-W192)</f>
        <v>2.4950681818181808</v>
      </c>
      <c r="AE192" s="387">
        <f>D190-V192</f>
        <v>1.0299999999999998</v>
      </c>
      <c r="AF192" s="393">
        <f>100*(AVERAGE(D164,D170,D177,D169,D162,D156,D185,D178,D183,D190)-V192)/AVERAGE(D164,D170,D177,D169,D162,D156,D185,D178,D183,D190)</f>
        <v>34.296977660972416</v>
      </c>
      <c r="AG192" s="393">
        <f>100*(1-((100-AVERAGE(E164,E170,E177,E169,E162,E190,E151,E178,E183,E185))/(100-W192)))</f>
        <v>36.397727272727266</v>
      </c>
      <c r="AH192" s="387">
        <f>E190-W192</f>
        <v>10.320000000000007</v>
      </c>
      <c r="AI192" s="393">
        <f>100*(1-((V192*W192)/(AVERAGE(D164,D170,D177,D169,D162,D156,D185,D178,D183,D190)*AVERAGE(E164,E170,E177,E169,E162,E190,E151,E178,E183,E185))))</f>
        <v>45.143072623189873</v>
      </c>
      <c r="AJ192" s="389">
        <f>100*100*((AVERAGE(E164,E170,E177,E169,E162,E190,E151,E178,E183,E185)-W192)/((100-W192)*AVERAGE(E164,E170,E177,E169,E162,E190,E151,E178,E183,E185)))</f>
        <v>46.897035603678901</v>
      </c>
      <c r="AK192" s="318"/>
      <c r="AL192" s="66">
        <v>35.6</v>
      </c>
      <c r="AM192" s="313">
        <v>3237</v>
      </c>
      <c r="AN192" s="327">
        <f t="shared" si="166"/>
        <v>60.480000000000004</v>
      </c>
      <c r="AO192" s="489">
        <f t="shared" si="167"/>
        <v>23.363095238095237</v>
      </c>
      <c r="AP192" s="313">
        <v>1748</v>
      </c>
      <c r="AQ192" s="348">
        <f t="shared" si="164"/>
        <v>143128.06875000003</v>
      </c>
      <c r="AR192" s="348">
        <f t="shared" si="175"/>
        <v>905.203125</v>
      </c>
      <c r="AS192" s="512">
        <f t="shared" si="176"/>
        <v>37.716796875</v>
      </c>
      <c r="AT192" s="72">
        <f>AR192/(AVERAGE(AN192)*(AVERAGE(D$164,D$190,D$177,D$178,D$183,D$185,D$162,D$169,D$170))*AVERAGE(E$164,E$190,E$177,E$178,E$183,E$185,E$162,E$169,E$170)*0.0001)</f>
        <v>502.7626849312731</v>
      </c>
      <c r="AU192" s="313">
        <f>(AQ192-AQ163)/(AVERAGE(AN163:AN192)*((AVERAGE(D179,D172,D171,D185,D180,D187,D190)*AVERAGE(E179,E172,E171,E185,E180,E187,E190))-(V192*W192))*0.0001*(SUM(C163:C192)/24))</f>
        <v>1469.3319892124134</v>
      </c>
      <c r="AV192" s="328">
        <f>AR192/(AVERAGE(AN192)*AVERAGE(D$164,D$156,D$177,D$178,D$183,D$185,D$162,D$169,D$170)*0.01)</f>
        <v>390.21681918349611</v>
      </c>
      <c r="AW192" s="477">
        <f t="shared" si="157"/>
        <v>0.640625</v>
      </c>
      <c r="AX192" s="319"/>
      <c r="AY192" s="319"/>
      <c r="AZ192" s="319"/>
      <c r="BA192" s="319"/>
      <c r="BB192" s="319"/>
      <c r="BC192" s="320"/>
      <c r="BD192" s="368"/>
      <c r="BE192" s="330"/>
      <c r="BF192" s="541"/>
      <c r="BG192" s="318">
        <v>2.5</v>
      </c>
      <c r="BH192" s="319">
        <v>62.7</v>
      </c>
      <c r="BI192" s="348">
        <v>26500</v>
      </c>
      <c r="BJ192" s="319">
        <v>35.1</v>
      </c>
      <c r="BK192" s="348">
        <v>2111</v>
      </c>
      <c r="BL192" s="317">
        <v>368</v>
      </c>
      <c r="BM192" s="317">
        <v>79.900000000000006</v>
      </c>
      <c r="BN192" s="320">
        <v>118</v>
      </c>
      <c r="BO192" s="376">
        <f>D190*(100-E190)/(100-BH192)</f>
        <v>2.3545951742627342</v>
      </c>
      <c r="BP192" s="372">
        <f>D190-BG192</f>
        <v>1.0299999999999998</v>
      </c>
      <c r="BQ192" s="374">
        <f>100*(AVERAGE(D164,D170,D177,D169,D162,D156,D190,D178,D183,D185)-BG192)/AVERAGE(D164,D170,D177,D169,D162,D156,D190,D178,D183,D185)</f>
        <v>34.296977660972416</v>
      </c>
      <c r="BR192" s="367">
        <f>100*(1-((100-AVERAGE(E164,E170,E177,E169,E162,E156,E190,E178,E183,E185))/(100-BH192)))</f>
        <v>40.171581769436983</v>
      </c>
      <c r="BS192" s="375">
        <f>E185-BH192</f>
        <v>13</v>
      </c>
      <c r="BT192" s="312">
        <f>100*(1-((BG192*BH192)/(AVERAGE(D164,D170,D177,D169,D162,D156,D190,D178,D183,D185)*AVERAGE(E164,E170,E177,E169,E162,E156,E190,E178,E183,E185))))</f>
        <v>46.970038866986386</v>
      </c>
      <c r="BU192" s="412">
        <f>100*100*((AVERAGE(E164,E170,E177,E169,E162,E156,E190,E178,E183,E185)-BH192)/((100-BH192)*AVERAGE(E164,E170,E177,E169,E162,E156,E190,E178,E183,E185)))</f>
        <v>51.711525886201777</v>
      </c>
      <c r="BV192" s="318"/>
      <c r="BW192" s="319">
        <v>51</v>
      </c>
      <c r="BX192" s="313">
        <v>1855</v>
      </c>
      <c r="BY192" s="470">
        <f t="shared" si="170"/>
        <v>6</v>
      </c>
      <c r="BZ192" s="470">
        <f t="shared" si="171"/>
        <v>124.33333333333333</v>
      </c>
      <c r="CA192" s="313">
        <v>984</v>
      </c>
      <c r="CB192" s="348">
        <f t="shared" si="142"/>
        <v>79681.425000000003</v>
      </c>
      <c r="CC192" s="334">
        <f t="shared" ref="CC192:CC197" si="177">(CB192-CB191)/((C192/24))</f>
        <v>429.296875</v>
      </c>
      <c r="CD192" s="334">
        <f t="shared" ref="CD192:CD197" si="178">(CB192-CB191)/(C192)</f>
        <v>17.887369791666668</v>
      </c>
      <c r="CE192" s="313">
        <f>CC192/(AVERAGE(BY191,BY192)*(AVERAGE(D$164,D$190,D$177,D$178,D$183,D$185,D$162,D$169,D$170))*AVERAGE(E$164,E$190,E$177,E$178,E$183,E$185,E$162,E$169,E$170)*0.0001)</f>
        <v>765.63131610503933</v>
      </c>
      <c r="CF192" s="313">
        <f>(CB192-CB163)/(AVERAGE(BY163:BY192)*((AVERAGE(D178,D170,D177,D183,D185,D190,D169,D164)*AVERAGE(E178,E170,E185,E177,E183,E190,E169,E164))-(BG192*BH192))*0.0001*(SUM(C163:C192)/24))</f>
        <v>1385.9274060927721</v>
      </c>
      <c r="CG192" s="72">
        <f>CC192/(AVERAGE(BY191:BY194)*AVERAGE((D$164,D$190,D$177,D$178,D$183,D$185,D$162,D$169,D$170))*0.01)</f>
        <v>362.7490458841869</v>
      </c>
      <c r="CH192" s="477">
        <f t="shared" si="143"/>
        <v>0.57546497989276135</v>
      </c>
      <c r="CI192" s="319"/>
      <c r="CJ192" s="319"/>
      <c r="CK192" s="319"/>
      <c r="CL192" s="319"/>
      <c r="CM192" s="319"/>
      <c r="CN192" s="442"/>
      <c r="CP192" s="503" t="s">
        <v>6</v>
      </c>
      <c r="CQ192" s="503" t="s">
        <v>57</v>
      </c>
      <c r="CR192" s="503" t="s">
        <v>52</v>
      </c>
      <c r="CS192" s="503" t="s">
        <v>58</v>
      </c>
      <c r="CT192" s="503" t="s">
        <v>58</v>
      </c>
      <c r="CU192" s="503" t="s">
        <v>59</v>
      </c>
      <c r="CV192" s="503"/>
      <c r="CW192" s="503" t="s">
        <v>60</v>
      </c>
      <c r="CX192" s="503" t="s">
        <v>60</v>
      </c>
      <c r="CY192" s="503" t="s">
        <v>60</v>
      </c>
      <c r="CZ192" s="503" t="s">
        <v>6</v>
      </c>
      <c r="DA192" s="503" t="s">
        <v>57</v>
      </c>
      <c r="DB192" s="504" t="s">
        <v>52</v>
      </c>
      <c r="DC192" s="504" t="s">
        <v>58</v>
      </c>
      <c r="DD192" s="504" t="s">
        <v>58</v>
      </c>
      <c r="DE192" s="504" t="s">
        <v>59</v>
      </c>
      <c r="DF192" s="504" t="s">
        <v>60</v>
      </c>
      <c r="DG192" s="504" t="s">
        <v>60</v>
      </c>
      <c r="DH192" s="504" t="s">
        <v>60</v>
      </c>
    </row>
    <row r="193" spans="1:112" ht="15.75" thickBot="1">
      <c r="A193" s="141">
        <f t="shared" si="146"/>
        <v>41348</v>
      </c>
      <c r="B193" s="307">
        <f>B192</f>
        <v>0.33333333333333331</v>
      </c>
      <c r="C193" s="304">
        <f t="shared" si="174"/>
        <v>24</v>
      </c>
      <c r="D193" s="65"/>
      <c r="E193" s="66"/>
      <c r="F193" s="66"/>
      <c r="G193" s="66"/>
      <c r="H193" s="66"/>
      <c r="I193" s="66"/>
      <c r="J193" s="86"/>
      <c r="K193" s="86"/>
      <c r="L193" s="63"/>
      <c r="M193" s="86"/>
      <c r="N193" s="66"/>
      <c r="O193" s="265"/>
      <c r="P193" s="699"/>
      <c r="Q193" s="703"/>
      <c r="R193" s="715"/>
      <c r="S193" s="86"/>
      <c r="T193" s="86"/>
      <c r="U193" s="86"/>
      <c r="V193" s="65"/>
      <c r="W193" s="66"/>
      <c r="X193" s="66"/>
      <c r="Y193" s="66"/>
      <c r="Z193" s="66"/>
      <c r="AA193" s="86"/>
      <c r="AB193" s="86"/>
      <c r="AC193" s="63"/>
      <c r="AD193" s="87"/>
      <c r="AE193" s="87"/>
      <c r="AF193" s="87"/>
      <c r="AG193" s="66"/>
      <c r="AH193" s="66"/>
      <c r="AI193" s="64"/>
      <c r="AJ193" s="63"/>
      <c r="AK193" s="65"/>
      <c r="AL193" s="66">
        <v>35.6</v>
      </c>
      <c r="AM193" s="72">
        <v>3265</v>
      </c>
      <c r="AN193" s="89">
        <f t="shared" si="166"/>
        <v>60.480000000000004</v>
      </c>
      <c r="AO193" s="488">
        <f t="shared" si="167"/>
        <v>23.363095238095237</v>
      </c>
      <c r="AP193" s="72">
        <v>1763</v>
      </c>
      <c r="AQ193" s="76">
        <f t="shared" si="164"/>
        <v>144033.27187500003</v>
      </c>
      <c r="AR193" s="76">
        <f t="shared" si="175"/>
        <v>905.203125</v>
      </c>
      <c r="AS193" s="230">
        <f t="shared" si="176"/>
        <v>37.716796875</v>
      </c>
      <c r="AT193" s="72">
        <f>AR193/(AVERAGE(AN193)*(AVERAGE(D$164,D$190,D$177,D$178,D$183,D$185,D$192,D$169,D$170))*AVERAGE(E$164,E$190,E$177,E$178,E$183,E$185,E$192,E$169,E$170)*0.0001)</f>
        <v>507.49476183341829</v>
      </c>
      <c r="AU193" s="66"/>
      <c r="AV193" s="143">
        <f>AR193/(AVERAGE(AN193)*AVERAGE(D$164,D$190,D$177,D$178,D$183,D$185,D$192,D$169,D$170)*0.01)</f>
        <v>392.49080997127874</v>
      </c>
      <c r="AW193" s="511">
        <f t="shared" si="157"/>
        <v>0.640625</v>
      </c>
      <c r="AX193" s="66"/>
      <c r="AY193" s="66"/>
      <c r="AZ193" s="66"/>
      <c r="BA193" s="66"/>
      <c r="BB193" s="66"/>
      <c r="BC193" s="63"/>
      <c r="BD193" s="64"/>
      <c r="BE193" s="147"/>
      <c r="BF193" s="86"/>
      <c r="BG193" s="65"/>
      <c r="BH193" s="66"/>
      <c r="BI193" s="66"/>
      <c r="BJ193" s="66"/>
      <c r="BK193" s="66"/>
      <c r="BL193" s="86"/>
      <c r="BM193" s="86"/>
      <c r="BN193" s="63"/>
      <c r="BO193" s="87"/>
      <c r="BP193" s="87"/>
      <c r="BQ193" s="87"/>
      <c r="BR193" s="66"/>
      <c r="BS193" s="64"/>
      <c r="BT193" s="66"/>
      <c r="BU193" s="67"/>
      <c r="BV193" s="65"/>
      <c r="BW193" s="66">
        <v>51</v>
      </c>
      <c r="BX193" s="72">
        <v>1885</v>
      </c>
      <c r="BY193" s="435">
        <f t="shared" si="170"/>
        <v>60</v>
      </c>
      <c r="BZ193" s="435">
        <f t="shared" si="171"/>
        <v>12.433333333333334</v>
      </c>
      <c r="CA193" s="72">
        <v>993</v>
      </c>
      <c r="CB193" s="76">
        <f t="shared" si="142"/>
        <v>80233.378125000003</v>
      </c>
      <c r="CC193" s="289">
        <f t="shared" si="177"/>
        <v>551.953125</v>
      </c>
      <c r="CD193" s="289">
        <f t="shared" si="178"/>
        <v>22.998046875</v>
      </c>
      <c r="CE193" s="72">
        <f>CC193/(AVERAGE(BY192,BY193)*(AVERAGE(D$164,D$190,D$177,D$178,D$183,D$185,D$192,D$169,D$170))*AVERAGE(E$164,E$190,E$177,E$178,E$183,E$185,E$192,E$169,E$170)*0.0001)</f>
        <v>567.13383584044971</v>
      </c>
      <c r="CF193" s="66"/>
      <c r="CG193" s="72">
        <f>CC193/(BY193*AVERAGE((D$164,D$190,D$177,D$178,D$183,D$185,D$162,D$169,D$170))*0.01)</f>
        <v>240.32792089985489</v>
      </c>
      <c r="CH193" s="433">
        <f t="shared" si="143"/>
        <v>0.73988354557640745</v>
      </c>
      <c r="CI193" s="66"/>
      <c r="CJ193" s="66"/>
      <c r="CK193" s="66"/>
      <c r="CL193" s="66"/>
      <c r="CM193" s="66"/>
      <c r="CN193" s="110"/>
      <c r="CP193" t="s">
        <v>64</v>
      </c>
      <c r="CQ193" s="129">
        <f>MIN(AR169:AR194)</f>
        <v>724.16249999999127</v>
      </c>
      <c r="CR193" s="129">
        <f>MIN(AS169:AS194)</f>
        <v>37.716796875</v>
      </c>
      <c r="CS193" s="129">
        <f>MIN(AT169:AT194)</f>
        <v>434.85233012055863</v>
      </c>
      <c r="CT193" s="129" t="e">
        <f>MIN(#REF!)</f>
        <v>#REF!</v>
      </c>
      <c r="CU193" s="129">
        <f>MIN(AU169:AU194)</f>
        <v>1146.112307490899</v>
      </c>
      <c r="CV193" s="129"/>
      <c r="CW193" s="129">
        <f>MIN(AV169:AV194)</f>
        <v>340.15870197509309</v>
      </c>
      <c r="CX193" s="129" t="e">
        <f>MIN(#REF!)</f>
        <v>#REF!</v>
      </c>
      <c r="CY193" s="129" t="e">
        <f>MIN(#REF!)</f>
        <v>#REF!</v>
      </c>
      <c r="CZ193" s="129"/>
      <c r="DA193" s="129">
        <f>MIN(CC169:CC194)</f>
        <v>429.296875</v>
      </c>
      <c r="DB193" s="129">
        <f>MIN(CD169:CD194)</f>
        <v>17.887369791666668</v>
      </c>
      <c r="DC193" s="129">
        <f>MIN(CE169:CE194)</f>
        <v>386.88199654232227</v>
      </c>
      <c r="DD193" s="129" t="e">
        <f>MIN(#REF!)</f>
        <v>#REF!</v>
      </c>
      <c r="DE193" s="129">
        <f>MIN(CF169:CF194)</f>
        <v>1225.1166853773109</v>
      </c>
      <c r="DF193" s="129">
        <f>MIN(CG169:CG194)</f>
        <v>240.32792089985489</v>
      </c>
      <c r="DG193" s="129" t="e">
        <f>MIN(#REF!)</f>
        <v>#REF!</v>
      </c>
      <c r="DH193" s="129" t="e">
        <f>MIN(#REF!)</f>
        <v>#REF!</v>
      </c>
    </row>
    <row r="194" spans="1:112" ht="15.75" thickBot="1">
      <c r="A194" s="141">
        <f t="shared" si="146"/>
        <v>41349</v>
      </c>
      <c r="B194" s="307">
        <f>B193</f>
        <v>0.33333333333333331</v>
      </c>
      <c r="C194" s="304">
        <f t="shared" si="174"/>
        <v>24</v>
      </c>
      <c r="D194" s="65"/>
      <c r="E194" s="66"/>
      <c r="F194" s="66"/>
      <c r="G194" s="66"/>
      <c r="H194" s="66"/>
      <c r="I194" s="66"/>
      <c r="J194" s="86"/>
      <c r="K194" s="86"/>
      <c r="L194" s="63"/>
      <c r="M194" s="86"/>
      <c r="N194" s="66"/>
      <c r="O194" s="265"/>
      <c r="P194" s="699"/>
      <c r="Q194" s="703"/>
      <c r="R194" s="715"/>
      <c r="S194" s="86"/>
      <c r="T194" s="86"/>
      <c r="U194" s="86"/>
      <c r="V194" s="65"/>
      <c r="W194" s="66"/>
      <c r="X194" s="66"/>
      <c r="Y194" s="66"/>
      <c r="Z194" s="66"/>
      <c r="AA194" s="86"/>
      <c r="AB194" s="86"/>
      <c r="AC194" s="63"/>
      <c r="AD194" s="87"/>
      <c r="AE194" s="87"/>
      <c r="AF194" s="87"/>
      <c r="AG194" s="66"/>
      <c r="AH194" s="66"/>
      <c r="AI194" s="64"/>
      <c r="AJ194" s="63"/>
      <c r="AK194" s="65"/>
      <c r="AL194" s="66">
        <v>35.6</v>
      </c>
      <c r="AM194" s="72">
        <v>3293</v>
      </c>
      <c r="AN194" s="89">
        <f t="shared" si="166"/>
        <v>60.480000000000004</v>
      </c>
      <c r="AO194" s="488">
        <f t="shared" si="167"/>
        <v>23.363095238095237</v>
      </c>
      <c r="AP194" s="72">
        <v>1776</v>
      </c>
      <c r="AQ194" s="76">
        <f t="shared" si="164"/>
        <v>144817.78125</v>
      </c>
      <c r="AR194" s="76">
        <f t="shared" si="175"/>
        <v>784.50937499996508</v>
      </c>
      <c r="AS194" s="230"/>
      <c r="AT194" s="72">
        <f>AR194/(AVERAGE(AN194)*(AVERAGE(D$164,D$190,D$177,D$178,D$183,D$185,D$192,D$169,D$170))*AVERAGE(E$164,E$190,E$177,E$178,E$183,E$185,E$192,E$169,E$170)*0.0001)</f>
        <v>439.82879358894297</v>
      </c>
      <c r="AU194" s="66"/>
      <c r="AV194" s="143">
        <f>AR194/(AVERAGE(AN194)*AVERAGE(D$164,D$190,D$177,D$178,D$183,D$185,D$192,D$169,D$170)*0.01)</f>
        <v>340.15870197509309</v>
      </c>
      <c r="AW194" s="511">
        <f t="shared" si="157"/>
        <v>0.55520833333330866</v>
      </c>
      <c r="AX194" s="66"/>
      <c r="AY194" s="66"/>
      <c r="AZ194" s="66"/>
      <c r="BA194" s="66"/>
      <c r="BB194" s="66"/>
      <c r="BC194" s="63"/>
      <c r="BD194" s="64"/>
      <c r="BE194" s="147"/>
      <c r="BF194" s="86"/>
      <c r="BG194" s="65"/>
      <c r="BH194" s="66"/>
      <c r="BI194" s="66"/>
      <c r="BJ194" s="66"/>
      <c r="BK194" s="66"/>
      <c r="BL194" s="86"/>
      <c r="BM194" s="86"/>
      <c r="BN194" s="63"/>
      <c r="BO194" s="87"/>
      <c r="BP194" s="87"/>
      <c r="BQ194" s="87"/>
      <c r="BR194" s="66"/>
      <c r="BS194" s="64"/>
      <c r="BT194" s="66"/>
      <c r="BU194" s="67"/>
      <c r="BV194" s="65"/>
      <c r="BW194" s="66">
        <v>51</v>
      </c>
      <c r="BX194" s="72">
        <v>1898</v>
      </c>
      <c r="BY194" s="443">
        <f t="shared" si="170"/>
        <v>26</v>
      </c>
      <c r="BZ194" s="443">
        <f t="shared" si="171"/>
        <v>28.692307692307693</v>
      </c>
      <c r="CA194" s="72">
        <v>1001</v>
      </c>
      <c r="CB194" s="76">
        <f t="shared" si="142"/>
        <v>80724.003125000003</v>
      </c>
      <c r="CC194" s="289">
        <f t="shared" si="177"/>
        <v>490.625</v>
      </c>
      <c r="CD194" s="289">
        <f t="shared" si="178"/>
        <v>20.442708333333332</v>
      </c>
      <c r="CE194" s="72">
        <f>CC194/(AVERAGE(BY193,BY194)*(AVERAGE(D$164,D$190,D$177,D$178,D$183,D$185,D$192,D$169,D$170))*AVERAGE(E$164,E$190,E$177,E$178,E$183,E$185,E$192,E$169,E$170)*0.0001)</f>
        <v>386.88199654232227</v>
      </c>
      <c r="CF194" s="66"/>
      <c r="CG194" s="72">
        <f>CC194/(BY194*AVERAGE((D$164,D$190,D$177,D$178,D$183,D$185,D$162,D$169,D$170))*0.01)</f>
        <v>492.9803505638049</v>
      </c>
      <c r="CH194" s="433">
        <f t="shared" si="143"/>
        <v>0.6576742627345844</v>
      </c>
      <c r="CI194" s="66"/>
      <c r="CJ194" s="66"/>
      <c r="CK194" s="66"/>
      <c r="CL194" s="66"/>
      <c r="CM194" s="66"/>
      <c r="CN194" s="110"/>
      <c r="CP194" s="130" t="s">
        <v>69</v>
      </c>
      <c r="CQ194" s="129">
        <f>AVERAGE(AR169:AR194)</f>
        <v>1155.3309464662525</v>
      </c>
      <c r="CR194" s="129">
        <f>AVERAGE(AS169:AS194)</f>
        <v>47.790532388483328</v>
      </c>
      <c r="CS194" s="129">
        <f>AVERAGE(AT169:AT194)</f>
        <v>673.05320928943615</v>
      </c>
      <c r="CT194" s="129" t="e">
        <f>AVERAGE(#REF!)</f>
        <v>#REF!</v>
      </c>
      <c r="CU194" s="129">
        <f>AVERAGE(AU169:AU194)</f>
        <v>1397.4531583205376</v>
      </c>
      <c r="CV194" s="129"/>
      <c r="CW194" s="129">
        <f>AVERAGE(AV169:AV194)</f>
        <v>524.90937167451943</v>
      </c>
      <c r="CX194" s="129" t="e">
        <f>AVERAGE(#REF!)</f>
        <v>#REF!</v>
      </c>
      <c r="CY194" s="129" t="e">
        <f>AVERAGE(#REF!)</f>
        <v>#REF!</v>
      </c>
      <c r="CZ194" s="130"/>
      <c r="DA194" s="129">
        <f>AVERAGE(CC169:CC194)</f>
        <v>623.55874143510596</v>
      </c>
      <c r="DB194" s="129">
        <f>AVERAGE(CD169:CD194)</f>
        <v>25.981614226462753</v>
      </c>
      <c r="DC194" s="129">
        <f>AVERAGE(CE169:CE194)</f>
        <v>690.53692884115583</v>
      </c>
      <c r="DD194" s="129" t="e">
        <f>AVERAGE(#REF!)</f>
        <v>#REF!</v>
      </c>
      <c r="DE194" s="129">
        <f>AVERAGE(CF169:CF194)</f>
        <v>1362.9790232681135</v>
      </c>
      <c r="DF194" s="129">
        <f>AVERAGE(CG169:CG194)</f>
        <v>520.75106321267003</v>
      </c>
      <c r="DG194" s="129" t="e">
        <f>AVERAGE(#REF!)</f>
        <v>#REF!</v>
      </c>
      <c r="DH194" s="129" t="e">
        <f>AVERAGE(#REF!)</f>
        <v>#REF!</v>
      </c>
    </row>
    <row r="195" spans="1:112" ht="42.75">
      <c r="A195" s="606">
        <f t="shared" si="146"/>
        <v>41350</v>
      </c>
      <c r="B195" s="307">
        <f>B194</f>
        <v>0.33333333333333331</v>
      </c>
      <c r="C195" s="304">
        <f t="shared" si="174"/>
        <v>24</v>
      </c>
      <c r="D195" s="97"/>
      <c r="E195" s="98"/>
      <c r="F195" s="98"/>
      <c r="G195" s="98"/>
      <c r="H195" s="98"/>
      <c r="I195" s="98"/>
      <c r="J195" s="157"/>
      <c r="K195" s="157"/>
      <c r="L195" s="99"/>
      <c r="M195" s="157"/>
      <c r="N195" s="98"/>
      <c r="O195" s="268"/>
      <c r="P195" s="706"/>
      <c r="Q195" s="707"/>
      <c r="R195" s="712"/>
      <c r="S195" s="157"/>
      <c r="T195" s="157"/>
      <c r="U195" s="157"/>
      <c r="V195" s="97"/>
      <c r="W195" s="98"/>
      <c r="X195" s="98"/>
      <c r="Y195" s="98"/>
      <c r="Z195" s="98"/>
      <c r="AA195" s="157"/>
      <c r="AB195" s="157"/>
      <c r="AC195" s="99"/>
      <c r="AD195" s="158"/>
      <c r="AE195" s="158"/>
      <c r="AF195" s="158"/>
      <c r="AG195" s="98"/>
      <c r="AH195" s="98"/>
      <c r="AI195" s="156"/>
      <c r="AJ195" s="99"/>
      <c r="AK195" s="97"/>
      <c r="AL195" s="66">
        <v>35.6</v>
      </c>
      <c r="AM195" s="72">
        <v>3321</v>
      </c>
      <c r="AN195" s="89">
        <f t="shared" si="166"/>
        <v>60.480000000000004</v>
      </c>
      <c r="AO195" s="488">
        <f t="shared" si="167"/>
        <v>23.363095238095237</v>
      </c>
      <c r="AP195" s="81">
        <v>1790</v>
      </c>
      <c r="AQ195" s="199">
        <f t="shared" si="164"/>
        <v>145662.63750000001</v>
      </c>
      <c r="AR195" s="76">
        <f t="shared" si="175"/>
        <v>844.85625000001164</v>
      </c>
      <c r="AS195" s="230">
        <f t="shared" si="176"/>
        <v>35.202343750000487</v>
      </c>
      <c r="AT195" s="72">
        <f>AR195/(AVERAGE(AN195)*(AVERAGE(D$164,D$190,D$177,D$178,D$183,D$185,D$192,D$169,D$170))*AVERAGE(E$164,E$190,E$177,E$178,E$183,E$185,E$192,E$169,E$170)*0.0001)</f>
        <v>473.66177771119698</v>
      </c>
      <c r="AU195" s="98"/>
      <c r="AV195" s="143">
        <f>AR195/(AVERAGE(AN195)*AVERAGE(D$164,D$190,D$177,D$178,D$183,D$185,D$192,D$169,D$170)*0.01)</f>
        <v>366.32475597319853</v>
      </c>
      <c r="AW195" s="511">
        <f t="shared" si="157"/>
        <v>0.59791666666667487</v>
      </c>
      <c r="AX195" s="98"/>
      <c r="AY195" s="98"/>
      <c r="AZ195" s="98"/>
      <c r="BA195" s="98"/>
      <c r="BB195" s="98"/>
      <c r="BC195" s="99" t="s">
        <v>142</v>
      </c>
      <c r="BD195" s="156"/>
      <c r="BE195" s="206"/>
      <c r="BF195" s="157"/>
      <c r="BG195" s="97"/>
      <c r="BH195" s="98"/>
      <c r="BI195" s="98"/>
      <c r="BJ195" s="98"/>
      <c r="BK195" s="98"/>
      <c r="BL195" s="157"/>
      <c r="BM195" s="157"/>
      <c r="BN195" s="99"/>
      <c r="BO195" s="158"/>
      <c r="BP195" s="158"/>
      <c r="BQ195" s="158"/>
      <c r="BR195" s="98"/>
      <c r="BS195" s="156"/>
      <c r="BT195" s="98"/>
      <c r="BU195" s="100"/>
      <c r="BV195" s="97"/>
      <c r="BW195" s="98">
        <v>51</v>
      </c>
      <c r="BX195" s="72">
        <v>1915</v>
      </c>
      <c r="BY195" s="443">
        <f t="shared" si="170"/>
        <v>34</v>
      </c>
      <c r="BZ195" s="443">
        <f t="shared" si="171"/>
        <v>21.941176470588236</v>
      </c>
      <c r="CA195" s="81">
        <v>1008</v>
      </c>
      <c r="CB195" s="199">
        <f t="shared" si="142"/>
        <v>81153.3</v>
      </c>
      <c r="CC195" s="289">
        <f t="shared" si="177"/>
        <v>429.296875</v>
      </c>
      <c r="CD195" s="289">
        <f t="shared" si="178"/>
        <v>17.887369791666668</v>
      </c>
      <c r="CE195" s="72">
        <f>CC195/(AVERAGE(BY194,BY195)*(AVERAGE(D$164,D$190,D$177,D$178,D$183,D$185,D$192,D$169,D$170))*AVERAGE(E$164,E$190,E$177,E$178,E$183,E$185,E$192,E$169,E$170)*0.0001)</f>
        <v>485.21450399682925</v>
      </c>
      <c r="CF195" s="98"/>
      <c r="CG195" s="72">
        <f>CC195/(BY195*AVERAGE((D$164,D$190,D$177,D$178,D$183,D$185,D$192,D$169,D$170))*0.01)</f>
        <v>331.1113289284246</v>
      </c>
      <c r="CH195" s="433">
        <f t="shared" si="143"/>
        <v>0.57546497989276135</v>
      </c>
      <c r="CI195" s="98"/>
      <c r="CJ195" s="98"/>
      <c r="CK195" s="98"/>
      <c r="CL195" s="98"/>
      <c r="CM195" s="98"/>
      <c r="CN195" s="628" t="s">
        <v>143</v>
      </c>
      <c r="CP195" t="s">
        <v>66</v>
      </c>
      <c r="CQ195" s="131">
        <f>MAX(AR169:AR194)</f>
        <v>1917.782068965523</v>
      </c>
      <c r="CR195" s="131">
        <f>MAX(AS169:AS194)</f>
        <v>60.346875000000097</v>
      </c>
      <c r="CS195" s="131">
        <f>MAX(AT169:AT194)</f>
        <v>1160.650523049675</v>
      </c>
      <c r="CT195" s="131" t="e">
        <f>MAX(#REF!)</f>
        <v>#REF!</v>
      </c>
      <c r="CU195" s="131">
        <f>MAX(AU169:AU194)</f>
        <v>1626.235300048683</v>
      </c>
      <c r="CV195" s="131"/>
      <c r="CW195" s="131">
        <f>MAX(AV169:AV194)</f>
        <v>900.52086192422144</v>
      </c>
      <c r="CX195" s="131" t="e">
        <f>MAX(#REF!)</f>
        <v>#REF!</v>
      </c>
      <c r="CY195" s="131" t="e">
        <f>MAX(#REF!)</f>
        <v>#REF!</v>
      </c>
      <c r="CZ195" s="131"/>
      <c r="DA195" s="131">
        <f>MAX(CC169:CC194)</f>
        <v>858.59375</v>
      </c>
      <c r="DB195" s="131">
        <f>MAX(CD169:CD194)</f>
        <v>35.774739583333336</v>
      </c>
      <c r="DC195" s="131">
        <f>MAX(CE169:CE194)</f>
        <v>1193.7439151491803</v>
      </c>
      <c r="DD195" s="131" t="e">
        <f>MAX(#REF!)</f>
        <v>#REF!</v>
      </c>
      <c r="DE195" s="131">
        <f>MAX(CF169:CF194)</f>
        <v>1622.2933400350601</v>
      </c>
      <c r="DF195" s="131">
        <f>MAX(CG169:CG194)</f>
        <v>871.96386255924165</v>
      </c>
      <c r="DG195" s="131" t="e">
        <f>MAX(#REF!)</f>
        <v>#REF!</v>
      </c>
      <c r="DH195" s="131" t="e">
        <f>MAX(#REF!)</f>
        <v>#REF!</v>
      </c>
    </row>
    <row r="196" spans="1:112" s="618" customFormat="1" ht="15.75" thickBot="1">
      <c r="A196" s="607">
        <f t="shared" si="146"/>
        <v>41351</v>
      </c>
      <c r="B196" s="620">
        <v>0.4375</v>
      </c>
      <c r="C196" s="621">
        <f t="shared" si="174"/>
        <v>26.5</v>
      </c>
      <c r="D196" s="608"/>
      <c r="E196" s="609"/>
      <c r="F196" s="609"/>
      <c r="G196" s="609"/>
      <c r="H196" s="609"/>
      <c r="I196" s="609"/>
      <c r="J196" s="610"/>
      <c r="K196" s="610"/>
      <c r="L196" s="611"/>
      <c r="M196" s="610"/>
      <c r="N196" s="609"/>
      <c r="O196" s="612"/>
      <c r="P196" s="717"/>
      <c r="Q196" s="718"/>
      <c r="R196" s="719"/>
      <c r="S196" s="610"/>
      <c r="T196" s="610"/>
      <c r="U196" s="610"/>
      <c r="V196" s="608"/>
      <c r="W196" s="609"/>
      <c r="X196" s="609"/>
      <c r="Y196" s="609"/>
      <c r="Z196" s="609"/>
      <c r="AA196" s="610"/>
      <c r="AB196" s="610"/>
      <c r="AC196" s="611"/>
      <c r="AD196" s="613"/>
      <c r="AE196" s="613"/>
      <c r="AF196" s="613"/>
      <c r="AG196" s="609"/>
      <c r="AH196" s="609"/>
      <c r="AI196" s="614"/>
      <c r="AJ196" s="611"/>
      <c r="AK196" s="608"/>
      <c r="AL196" s="66">
        <v>35.6</v>
      </c>
      <c r="AM196" s="615">
        <v>3353</v>
      </c>
      <c r="AN196" s="622">
        <f t="shared" si="166"/>
        <v>62.599245283018867</v>
      </c>
      <c r="AO196" s="623">
        <f t="shared" si="167"/>
        <v>22.572157118055557</v>
      </c>
      <c r="AP196" s="615">
        <v>1810</v>
      </c>
      <c r="AQ196" s="615">
        <f t="shared" si="164"/>
        <v>146869.57500000001</v>
      </c>
      <c r="AR196" s="615">
        <f t="shared" si="175"/>
        <v>1093.0754716981132</v>
      </c>
      <c r="AS196" s="615">
        <f t="shared" si="176"/>
        <v>45.544811320754718</v>
      </c>
      <c r="AT196" s="72">
        <f>AR196/(AVERAGE(AN196)*(AVERAGE(D$164,D$190,D$177,D$178,D$183,D$185,D$192,D$169,D$170))*AVERAGE(E$164,E$190,E$177,E$178,E$183,E$185,E$192,E$169,E$170)*0.0001)</f>
        <v>592.07722213898808</v>
      </c>
      <c r="AU196" s="609"/>
      <c r="AV196" s="143">
        <f>AR196/(AVERAGE(AN196)*AVERAGE(D$164,D$190,D$177,D$178,D$183,D$185,D$192,D$169,D$170)*0.01)</f>
        <v>457.90594496649197</v>
      </c>
      <c r="AW196" s="627">
        <f t="shared" si="157"/>
        <v>0.77358490566037741</v>
      </c>
      <c r="AX196" s="609"/>
      <c r="AY196" s="609"/>
      <c r="AZ196" s="609"/>
      <c r="BA196" s="609"/>
      <c r="BB196" s="609"/>
      <c r="BC196" s="611"/>
      <c r="BD196" s="614"/>
      <c r="BE196" s="609"/>
      <c r="BF196" s="610"/>
      <c r="BG196" s="608"/>
      <c r="BH196" s="609"/>
      <c r="BI196" s="609"/>
      <c r="BJ196" s="609"/>
      <c r="BK196" s="609"/>
      <c r="BL196" s="610"/>
      <c r="BM196" s="610"/>
      <c r="BN196" s="611"/>
      <c r="BO196" s="613"/>
      <c r="BP196" s="613"/>
      <c r="BQ196" s="613"/>
      <c r="BR196" s="609"/>
      <c r="BS196" s="614"/>
      <c r="BT196" s="609"/>
      <c r="BU196" s="616"/>
      <c r="BV196" s="608"/>
      <c r="BW196" s="609">
        <v>51</v>
      </c>
      <c r="BX196" s="615">
        <v>1934</v>
      </c>
      <c r="BY196" s="624">
        <f t="shared" si="170"/>
        <v>34.415094339622641</v>
      </c>
      <c r="BZ196" s="624">
        <f t="shared" si="171"/>
        <v>21.676535087719298</v>
      </c>
      <c r="CA196" s="615">
        <v>1020</v>
      </c>
      <c r="CB196" s="615">
        <f t="shared" si="142"/>
        <v>81889.237500000003</v>
      </c>
      <c r="CC196" s="625">
        <f t="shared" si="177"/>
        <v>666.5094339622641</v>
      </c>
      <c r="CD196" s="625">
        <f t="shared" si="178"/>
        <v>27.77122641509434</v>
      </c>
      <c r="CE196" s="72">
        <f>CC196/(AVERAGE(BY195,BY196)*(AVERAGE(D$164,D$190,D$177,D$178,D$183,D$185,D$192,D$169,D$170))*AVERAGE(E$164,E$190,E$177,E$178,E$183,E$185,E$192,E$169,E$170)*0.0001)</f>
        <v>660.66556055986189</v>
      </c>
      <c r="CF196" s="609"/>
      <c r="CG196" s="72">
        <f>CC196/(BY196*AVERAGE((D$164,D$190,D$177,D$178,D$183,D$185,D$192,D$169,D$170))*0.01)</f>
        <v>507.87000828119255</v>
      </c>
      <c r="CH196" s="626">
        <f t="shared" si="143"/>
        <v>0.89344428145075616</v>
      </c>
      <c r="CI196" s="609"/>
      <c r="CJ196" s="609"/>
      <c r="CK196" s="609"/>
      <c r="CL196" s="609"/>
      <c r="CM196" s="609"/>
      <c r="CN196" s="617"/>
    </row>
    <row r="197" spans="1:112" s="651" customFormat="1" ht="42.75">
      <c r="A197" s="629">
        <f t="shared" si="146"/>
        <v>41352</v>
      </c>
      <c r="B197" s="630">
        <v>0.3263888888888889</v>
      </c>
      <c r="C197" s="631">
        <f t="shared" si="174"/>
        <v>21.333333333333332</v>
      </c>
      <c r="D197" s="652">
        <v>3.0255034424798737</v>
      </c>
      <c r="E197" s="653">
        <v>83.012820512820454</v>
      </c>
      <c r="F197" s="633"/>
      <c r="G197" s="648">
        <v>5.87</v>
      </c>
      <c r="H197" s="633"/>
      <c r="I197" s="633"/>
      <c r="J197" s="634"/>
      <c r="K197" s="634"/>
      <c r="L197" s="635"/>
      <c r="M197" s="634">
        <v>58</v>
      </c>
      <c r="N197" s="633">
        <v>88</v>
      </c>
      <c r="O197" s="636"/>
      <c r="P197" s="637">
        <f>(N197-M197)*P1</f>
        <v>285</v>
      </c>
      <c r="Q197" s="638">
        <f>P197/(N197*N$4)</f>
        <v>0.64463303416328888</v>
      </c>
      <c r="R197" s="639">
        <f>10*Q197/D192</f>
        <v>1.8959795122449674</v>
      </c>
      <c r="S197" s="634"/>
      <c r="T197" s="634"/>
      <c r="U197" s="634"/>
      <c r="V197" s="654">
        <v>2.5313807531380825</v>
      </c>
      <c r="W197" s="653">
        <v>64.459999999999994</v>
      </c>
      <c r="X197" s="633"/>
      <c r="Y197" s="633"/>
      <c r="Z197" s="633"/>
      <c r="AA197" s="634"/>
      <c r="AB197" s="634"/>
      <c r="AC197" s="635"/>
      <c r="AD197" s="678">
        <f>D192*(100-E192)/(100-W197)</f>
        <v>2.2960045019696111</v>
      </c>
      <c r="AE197" s="679">
        <f>D192-V197</f>
        <v>0.86861924686191738</v>
      </c>
      <c r="AF197" s="680">
        <f>100*(AVERAGE(D164,D170,D177,D169,D162,D192,D185,D178,D183,D190)-V197)/AVERAGE(D164,D170,D177,D169,D162,D192,D185,D178,D183,D190)</f>
        <v>33.120719864251456</v>
      </c>
      <c r="AG197" s="680">
        <f>100*(1-((100-AVERAGE(E164,E170,E177,E169,E162,E190,E192,E178,E183,E185))/(100-W197)))</f>
        <v>36.958356781091737</v>
      </c>
      <c r="AH197" s="679">
        <f>E192-W197</f>
        <v>11.540000000000006</v>
      </c>
      <c r="AI197" s="680">
        <f>100*(1-((V197*W197)/(AVERAGE(D164,D170,D177,D169,D162,D192,D185,D178,D183,D190)*AVERAGE(E164,E170,E177,E169,E162,E190,E192,E178,E183,E185))))</f>
        <v>44.441801694047925</v>
      </c>
      <c r="AJ197" s="681">
        <f>100*100*((AVERAGE(E164,E170,E177,E169,E162,E190,E192,E178,E183,E185)-W197)/((100-W197)*AVERAGE(E164,E170,E177,E169,E162,E190,E192,E178,E183,E185)))</f>
        <v>47.629817360772904</v>
      </c>
      <c r="AK197" s="641">
        <v>7.15</v>
      </c>
      <c r="AL197" s="642">
        <v>33.799999999999997</v>
      </c>
      <c r="AM197" s="643">
        <v>3376</v>
      </c>
      <c r="AN197" s="644">
        <f t="shared" si="166"/>
        <v>55.890000000000008</v>
      </c>
      <c r="AO197" s="645">
        <f t="shared" si="167"/>
        <v>25.281803542673103</v>
      </c>
      <c r="AP197" s="646">
        <v>1826</v>
      </c>
      <c r="AQ197" s="646">
        <f t="shared" si="164"/>
        <v>147835.125</v>
      </c>
      <c r="AR197" s="646">
        <f t="shared" si="175"/>
        <v>1086.2437499999869</v>
      </c>
      <c r="AS197" s="646">
        <f t="shared" si="176"/>
        <v>45.260156249999454</v>
      </c>
      <c r="AT197" s="755">
        <f>AR197/(AVERAGE(AN197)*(AVERAGE(D$164,D$190,D$177,D$178,D$183,D$185,D$192,D$169,D$170))*AVERAGE(E$164,E$190,E$177,E$178,E$183,E$185,E$192,E$169,E$170)*0.0001)</f>
        <v>659.00769072860476</v>
      </c>
      <c r="AU197" s="646">
        <f>(AQ197-AQ168)/(AVERAGE(AN168:AN197)*((AVERAGE(D169,D183,D177,D178,D190,D185,D192,D170)*AVERAGE(E169,E183,E177,E178,E190,E185,E192,E170))-(V197*W197))*0.0001*(SUM(C168:C197)/24))</f>
        <v>1356.7521310810239</v>
      </c>
      <c r="AV197" s="755">
        <f>AR197/(AVERAGE(AN197)*AVERAGE(D$164,D$190,D$177,D$178,D$183,D$185,D$192,D$169,D$170)*0.01)</f>
        <v>509.66922570182822</v>
      </c>
      <c r="AW197" s="647">
        <f t="shared" si="157"/>
        <v>0.76874999999999072</v>
      </c>
      <c r="AX197" s="633">
        <v>68.3</v>
      </c>
      <c r="AY197" s="633">
        <v>29.4</v>
      </c>
      <c r="AZ197" s="633">
        <v>0</v>
      </c>
      <c r="BA197" s="633">
        <v>67</v>
      </c>
      <c r="BB197" s="633">
        <v>125</v>
      </c>
      <c r="BC197" s="635"/>
      <c r="BD197" s="640"/>
      <c r="BE197" s="633"/>
      <c r="BF197" s="634"/>
      <c r="BG197" s="652">
        <v>2.3419736243747185</v>
      </c>
      <c r="BH197" s="653">
        <v>64.72</v>
      </c>
      <c r="BI197" s="633"/>
      <c r="BJ197" s="633"/>
      <c r="BK197" s="633"/>
      <c r="BL197" s="634"/>
      <c r="BM197" s="634"/>
      <c r="BN197" s="635"/>
      <c r="BO197" s="682">
        <f>D192*(100-E192)/(100-BH197)</f>
        <v>2.3129251700680271</v>
      </c>
      <c r="BP197" s="683">
        <f>D192-BG197</f>
        <v>1.0580263756252815</v>
      </c>
      <c r="BQ197" s="684">
        <f>100*(AVERAGE(D164,D170,D177,D169,D162,D192,D190,D178,D183,D185)-BG197)/AVERAGE(D164,D170,D177,D169,D162,D192,D190,D178,D183,D185)</f>
        <v>38.124871218633594</v>
      </c>
      <c r="BR197" s="685">
        <f>100*(1-((100-AVERAGE(E164,E170,E177,E169,E162,E192,E190,E178,E183,E185))/(100-BH197)))</f>
        <v>36.493764172335595</v>
      </c>
      <c r="BS197" s="686">
        <f>E192-BH197</f>
        <v>11.280000000000001</v>
      </c>
      <c r="BT197" s="687">
        <f>100*(1-((BG197*BH197)/(AVERAGE(D164,D170,D177,D169,D162,D192,D190,D178,D183,D185)*AVERAGE(E164,E170,E177,E169,E162,E192,E190,E178,E183,E185))))</f>
        <v>48.391541533216909</v>
      </c>
      <c r="BU197" s="688">
        <f>100*100*((AVERAGE(E164,E170,E177,E169,E162,E192,E190,E178,E183,E185)-BH197)/((100-BH197)*AVERAGE(E164,E170,E177,E169,E162,E192,E190,E178,E183,E185)))</f>
        <v>47.031076966731874</v>
      </c>
      <c r="BV197" s="632">
        <v>7.38</v>
      </c>
      <c r="BW197" s="648">
        <v>46.8</v>
      </c>
      <c r="BX197" s="643">
        <v>1947</v>
      </c>
      <c r="BY197" s="644">
        <f t="shared" si="170"/>
        <v>29.25</v>
      </c>
      <c r="BZ197" s="644">
        <f t="shared" si="171"/>
        <v>25.504273504273506</v>
      </c>
      <c r="CA197" s="646">
        <v>1028</v>
      </c>
      <c r="CB197" s="646">
        <f t="shared" si="142"/>
        <v>82379.862500000003</v>
      </c>
      <c r="CC197" s="643">
        <f t="shared" si="177"/>
        <v>551.953125</v>
      </c>
      <c r="CD197" s="643">
        <f t="shared" si="178"/>
        <v>22.998046875</v>
      </c>
      <c r="CE197" s="643">
        <f>CC197/(AVERAGE(BY196,BY197)*(AVERAGE(D$197,D$190,D$177,D$178,D$183,D$185,D$192,D$169,D$170))*AVERAGE(E$197,E$190,E$177,E$178,E$183,E$185,E$192,E$169,E$170)*0.0001)</f>
        <v>590.73336733291899</v>
      </c>
      <c r="CF197" s="646">
        <f>(CB197-CB168)/(AVERAGE(BY168:BY197)*((AVERAGE(D183,D177,D178,D185,D190,D192,D170,D169)*AVERAGE(E183,E177,E190,E178,E185,E192,E170,E169))-(BG197*BH197))*0.0001*(SUM(C168:C197)/24))</f>
        <v>1215.4388121460202</v>
      </c>
      <c r="CG197" s="643">
        <f>CC197/(BY197*AVERAGE((D$164,D$190,D$177,D$178,D$183,D$185,D$192,D$169,D$170))*0.01)</f>
        <v>494.84770037654664</v>
      </c>
      <c r="CH197" s="647">
        <f t="shared" si="143"/>
        <v>0.73988354557640745</v>
      </c>
      <c r="CI197" s="633">
        <v>67.2</v>
      </c>
      <c r="CJ197" s="633">
        <v>30.1</v>
      </c>
      <c r="CK197" s="633">
        <v>0</v>
      </c>
      <c r="CL197" s="633">
        <v>92</v>
      </c>
      <c r="CM197" s="633">
        <v>290</v>
      </c>
      <c r="CN197" s="649" t="s">
        <v>144</v>
      </c>
      <c r="CO197" s="650" t="s">
        <v>145</v>
      </c>
    </row>
    <row r="198" spans="1:112" s="677" customFormat="1" ht="15">
      <c r="A198" s="378">
        <f t="shared" si="146"/>
        <v>41353</v>
      </c>
      <c r="B198" s="663">
        <v>0.33333333333333331</v>
      </c>
      <c r="C198" s="664">
        <f t="shared" si="174"/>
        <v>24.166666666666664</v>
      </c>
      <c r="D198" s="665"/>
      <c r="E198" s="293"/>
      <c r="F198" s="293"/>
      <c r="G198" s="293"/>
      <c r="H198" s="293"/>
      <c r="I198" s="293"/>
      <c r="J198" s="666"/>
      <c r="K198" s="666"/>
      <c r="L198" s="299"/>
      <c r="M198" s="666"/>
      <c r="N198" s="293"/>
      <c r="O198" s="667"/>
      <c r="P198" s="668"/>
      <c r="Q198" s="669"/>
      <c r="R198" s="670"/>
      <c r="S198" s="666"/>
      <c r="T198" s="666"/>
      <c r="U198" s="666"/>
      <c r="V198" s="665"/>
      <c r="W198" s="293"/>
      <c r="X198" s="293"/>
      <c r="Y198" s="293"/>
      <c r="Z198" s="293"/>
      <c r="AA198" s="666"/>
      <c r="AB198" s="666"/>
      <c r="AC198" s="299"/>
      <c r="AD198" s="298"/>
      <c r="AE198" s="298"/>
      <c r="AF198" s="298"/>
      <c r="AG198" s="293"/>
      <c r="AH198" s="293"/>
      <c r="AI198" s="671"/>
      <c r="AJ198" s="299"/>
      <c r="AK198" s="665"/>
      <c r="AL198" s="66">
        <v>35.6</v>
      </c>
      <c r="AM198" s="301">
        <v>3405</v>
      </c>
      <c r="AN198" s="672">
        <f t="shared" si="166"/>
        <v>62.208000000000006</v>
      </c>
      <c r="AO198" s="673">
        <f t="shared" si="167"/>
        <v>22.714120370370367</v>
      </c>
      <c r="AP198" s="301">
        <v>1845</v>
      </c>
      <c r="AQ198" s="490">
        <f t="shared" si="164"/>
        <v>148981.71562500001</v>
      </c>
      <c r="AR198" s="490">
        <f t="shared" si="175"/>
        <v>1138.6831034482875</v>
      </c>
      <c r="AS198" s="674">
        <f t="shared" si="176"/>
        <v>47.445129310345315</v>
      </c>
      <c r="AT198" s="72">
        <f>AR198/(AVERAGE(AN198)*(AVERAGE(D$197,D$190,D$177,D$178,D$183,D$185,D$192,D$169,D$170))*AVERAGE(E$197,E$190,E$177,E$178,E$183,E$185,E$192,E$169,E$170)*0.0001)</f>
        <v>623.61612264524945</v>
      </c>
      <c r="AU198" s="293"/>
      <c r="AV198" s="143">
        <f>AR198/(AVERAGE(AN198)*AVERAGE(D$197,D$190,D$177,D$178,D$183,D$185,D$192,D$169,D$170)*0.01)</f>
        <v>486.74126714516774</v>
      </c>
      <c r="AW198" s="511">
        <f t="shared" si="157"/>
        <v>0.80586206896552548</v>
      </c>
      <c r="AX198" s="293"/>
      <c r="AY198" s="293"/>
      <c r="AZ198" s="293"/>
      <c r="BA198" s="293"/>
      <c r="BB198" s="293"/>
      <c r="BC198" s="299"/>
      <c r="BD198" s="671"/>
      <c r="BE198" s="296"/>
      <c r="BF198" s="666"/>
      <c r="BG198" s="665"/>
      <c r="BH198" s="293"/>
      <c r="BI198" s="293"/>
      <c r="BJ198" s="293"/>
      <c r="BK198" s="293"/>
      <c r="BL198" s="666"/>
      <c r="BM198" s="666"/>
      <c r="BN198" s="299"/>
      <c r="BO198" s="298"/>
      <c r="BP198" s="298"/>
      <c r="BQ198" s="298"/>
      <c r="BR198" s="293"/>
      <c r="BS198" s="671"/>
      <c r="BT198" s="293"/>
      <c r="BU198" s="675"/>
      <c r="BV198" s="665"/>
      <c r="BW198" s="293">
        <v>51</v>
      </c>
      <c r="BX198" s="301">
        <v>1964</v>
      </c>
      <c r="BY198" s="443">
        <f t="shared" si="170"/>
        <v>33.765517241379314</v>
      </c>
      <c r="BZ198" s="443">
        <f t="shared" si="171"/>
        <v>22.093545751633986</v>
      </c>
      <c r="CA198" s="301">
        <v>1038</v>
      </c>
      <c r="CB198" s="490">
        <f t="shared" si="142"/>
        <v>82993.143750000003</v>
      </c>
      <c r="CC198" s="289">
        <f t="shared" ref="CC198:CC204" si="179">(CB198-CB197)/((C198/24))</f>
        <v>609.05172413793105</v>
      </c>
      <c r="CD198" s="289">
        <f t="shared" ref="CD198:CD204" si="180">(CB198-CB197)/(C198)</f>
        <v>25.377155172413797</v>
      </c>
      <c r="CE198" s="72">
        <f>CC198/(AVERAGE(BY197,BY198)*(AVERAGE(D$197,D$190,D$177,D$178,D$183,D$185,D$192,D$169,D$170))*AVERAGE(E$197,E$190,E$177,E$178,E$183,E$185,E$192,E$169,E$170)*0.0001)</f>
        <v>658.56305668884181</v>
      </c>
      <c r="CF198" s="293"/>
      <c r="CG198" s="72">
        <f>CC198/(BY198*AVERAGE((D$197,D$190,D$177,D$178,D$183,D$185,D$192,D$169,D$170))*0.01)</f>
        <v>479.64762789733243</v>
      </c>
      <c r="CH198" s="511">
        <f t="shared" si="143"/>
        <v>0.81642322270500145</v>
      </c>
      <c r="CI198" s="293"/>
      <c r="CJ198" s="293"/>
      <c r="CK198" s="293"/>
      <c r="CL198" s="293"/>
      <c r="CM198" s="293"/>
      <c r="CN198" s="676"/>
    </row>
    <row r="199" spans="1:112" s="337" customFormat="1" ht="15">
      <c r="A199" s="309">
        <f t="shared" si="146"/>
        <v>41354</v>
      </c>
      <c r="B199" s="310">
        <f>B198</f>
        <v>0.33333333333333331</v>
      </c>
      <c r="C199" s="311">
        <f t="shared" si="174"/>
        <v>24</v>
      </c>
      <c r="D199" s="770">
        <v>3.8</v>
      </c>
      <c r="E199" s="771">
        <v>79</v>
      </c>
      <c r="F199" s="313">
        <v>46200</v>
      </c>
      <c r="G199" s="319"/>
      <c r="H199" s="319"/>
      <c r="I199" s="313">
        <v>3105</v>
      </c>
      <c r="J199" s="317"/>
      <c r="K199" s="317"/>
      <c r="L199" s="320"/>
      <c r="M199" s="317">
        <v>55</v>
      </c>
      <c r="N199" s="319">
        <v>85</v>
      </c>
      <c r="O199" s="472"/>
      <c r="P199" s="509">
        <f>(N199-M199)*P$1</f>
        <v>285</v>
      </c>
      <c r="Q199" s="540">
        <f>(((M199*N4)*Q197)+(((N199-M199)*N4)*(P199/((N199-M199)*N4))))/(N199*N4)</f>
        <v>1.0845002810041213</v>
      </c>
      <c r="R199" s="655">
        <f>10*Q199/D197</f>
        <v>3.5845283326308288</v>
      </c>
      <c r="S199" s="317"/>
      <c r="T199" s="317"/>
      <c r="U199" s="317"/>
      <c r="V199" s="318">
        <v>2.4</v>
      </c>
      <c r="W199" s="319">
        <v>66.7</v>
      </c>
      <c r="X199" s="348">
        <v>25100</v>
      </c>
      <c r="Y199" s="319"/>
      <c r="Z199" s="348">
        <v>1749</v>
      </c>
      <c r="AA199" s="317"/>
      <c r="AB199" s="317"/>
      <c r="AC199" s="320"/>
      <c r="AD199" s="391">
        <f>D197*(100-E197)/(100-W199)</f>
        <v>1.5433864869815379</v>
      </c>
      <c r="AE199" s="387">
        <f>D197-V199</f>
        <v>0.62550344247987377</v>
      </c>
      <c r="AF199" s="393">
        <f>100*(AVERAGE(D164,D170,D177,D169,D197,D192,D185,D178,D183,D190)-V199)/AVERAGE(D164,D170,D177,D169,D197,D192,D185,D178,D183,D190)</f>
        <v>35.735235067950889</v>
      </c>
      <c r="AG199" s="393">
        <f>100*(1-((100-AVERAGE(E197,E170,E177,E169,E162,E190,E192,E178,E183,E185))/(100-W199)))</f>
        <v>34.643489643489666</v>
      </c>
      <c r="AH199" s="387">
        <f>E197-W199</f>
        <v>16.312820512820451</v>
      </c>
      <c r="AI199" s="393">
        <f>100*(1-((V199*W199)/(AVERAGE(D164,D170,D177,D169,D197,D192,D185,D178,D183,D190)*AVERAGE(E197,E170,E177,E169,E162,E190,E192,E178,E183,E185))))</f>
        <v>45.211355798349409</v>
      </c>
      <c r="AJ199" s="389">
        <f>100*100*((AVERAGE(E197,E170,E177,E169,E162,E190,E192,E178,E183,E185)-W199)/((100-W199)*AVERAGE(E197,E170,E177,E169,E162,E190,E192,E178,E183,E185)))</f>
        <v>44.280593012819374</v>
      </c>
      <c r="AK199" s="318"/>
      <c r="AL199" s="66">
        <v>35.6</v>
      </c>
      <c r="AM199" s="313">
        <v>3433</v>
      </c>
      <c r="AN199" s="327">
        <f t="shared" si="166"/>
        <v>60.480000000000004</v>
      </c>
      <c r="AO199" s="489">
        <f t="shared" si="167"/>
        <v>23.363095238095237</v>
      </c>
      <c r="AP199" s="313">
        <v>1863</v>
      </c>
      <c r="AQ199" s="348">
        <f t="shared" si="164"/>
        <v>150067.95937500003</v>
      </c>
      <c r="AR199" s="348">
        <f t="shared" si="175"/>
        <v>1086.2437500000233</v>
      </c>
      <c r="AS199" s="512">
        <f t="shared" si="176"/>
        <v>45.260156250000968</v>
      </c>
      <c r="AT199" s="72">
        <f>AR199/(AVERAGE(AN199)*(AVERAGE(D$197,D$190,D$177,D$178,D$183,D$185,D$192,D$169,D$170))*AVERAGE(E$197,E$190,E$177,E$178,E$183,E$185,E$192,E$169,E$170)*0.0001)</f>
        <v>611.89401507673654</v>
      </c>
      <c r="AU199" s="313">
        <f>(AQ199-AQ170)/(AVERAGE(AN170:AN199)*((AVERAGE(D170,D185,D177,D178,D192,D190,D183,D197)*AVERAGE(E170,E185,E177,E178,E192,E190,E183,E197))-(V199*W199))*0.0001*(SUM(C170:C199)/24))</f>
        <v>1370.6161200039742</v>
      </c>
      <c r="AV199" s="143">
        <f>AR199/(AVERAGE(AN199)*AVERAGE(D$197,D$190,D$177,D$178,D$183,D$185,D$192,D$169,D$170)*0.01)</f>
        <v>477.59199520635411</v>
      </c>
      <c r="AW199" s="477">
        <f t="shared" si="157"/>
        <v>0.76875000000001648</v>
      </c>
      <c r="AX199" s="319"/>
      <c r="AY199" s="319"/>
      <c r="AZ199" s="319"/>
      <c r="BA199" s="319"/>
      <c r="BB199" s="319"/>
      <c r="BC199" s="320"/>
      <c r="BD199" s="368"/>
      <c r="BE199" s="330"/>
      <c r="BF199" s="317"/>
      <c r="BG199" s="318">
        <v>2.4</v>
      </c>
      <c r="BH199" s="319">
        <v>65.5</v>
      </c>
      <c r="BI199" s="348">
        <v>25000</v>
      </c>
      <c r="BJ199" s="319"/>
      <c r="BK199" s="348">
        <v>2387</v>
      </c>
      <c r="BL199" s="317"/>
      <c r="BM199" s="317"/>
      <c r="BN199" s="320"/>
      <c r="BO199" s="376">
        <f>D197*(100-E197)/(100-BH199)</f>
        <v>1.4897034787387018</v>
      </c>
      <c r="BP199" s="372">
        <f>D197-BG199</f>
        <v>0.62550344247987377</v>
      </c>
      <c r="BQ199" s="374">
        <f>100*(AVERAGE(D164,D170,D177,D169,D197,D192,D190,D178,D183,D185)-BG199)/AVERAGE(D164,D170,D177,D169,D197,D192,D190,D178,D183,D185)</f>
        <v>35.735235067950889</v>
      </c>
      <c r="BR199" s="367">
        <f>100*(1-((100-AVERAGE(E164,E170,E177,E169,E197,E192,E190,E178,E183,E185))/(100-BH199)))</f>
        <v>35.960237829803035</v>
      </c>
      <c r="BS199" s="375">
        <f>E192-BH199</f>
        <v>10.5</v>
      </c>
      <c r="BT199" s="312">
        <f>100*(1-((BG199*BH199)/(AVERAGE(D164,D170,D177,D169,D197,D192,D190,D178,D183,D185)*AVERAGE(E164,E170,E177,E169,E197,E192,E190,E178,E183,E185))))</f>
        <v>45.969156886752671</v>
      </c>
      <c r="BU199" s="412">
        <f>100*100*((AVERAGE(E164,E170,E177,E169,E197,E192,E190,E178,E183,E185)-BH199)/((100-BH199)*AVERAGE(E164,E170,E177,E169,E197,E192,E190,E178,E183,E185)))</f>
        <v>46.15832880605457</v>
      </c>
      <c r="BV199" s="318"/>
      <c r="BW199" s="319">
        <v>51</v>
      </c>
      <c r="BX199" s="313">
        <v>1980</v>
      </c>
      <c r="BY199" s="462">
        <f t="shared" si="170"/>
        <v>32</v>
      </c>
      <c r="BZ199" s="462">
        <f t="shared" si="171"/>
        <v>23.3125</v>
      </c>
      <c r="CA199" s="313">
        <v>1048</v>
      </c>
      <c r="CB199" s="348">
        <f t="shared" si="142"/>
        <v>83606.425000000003</v>
      </c>
      <c r="CC199" s="334">
        <f t="shared" si="179"/>
        <v>613.28125</v>
      </c>
      <c r="CD199" s="334">
        <f t="shared" si="180"/>
        <v>25.553385416666668</v>
      </c>
      <c r="CE199" s="313">
        <f>CC199/(AVERAGE(BY198,BY199)*(AVERAGE(D$197,D$190,D$177,D$178,D$183,D$185,D$192,D$169,D$170))*AVERAGE(E$197,E$190,E$177,E$178,E$183,E$185,E$192,E$169,E$170)*0.0001)</f>
        <v>635.40721200572341</v>
      </c>
      <c r="CF199" s="313">
        <f>(CB199-CB170)/(AVERAGE(BY170:BY199)*((AVERAGE(D185,D177,D183,D190,D192,D197,D178,D170)*AVERAGE(E185,E177,E192,E183,E190,E197,E178,E170))-(BG199*BH199))*0.0001*(SUM(C170:C199)/24))</f>
        <v>1351.4578603400682</v>
      </c>
      <c r="CG199" s="313">
        <f>CC199/(BY199*AVERAGE((D$197,D$190,D$177,D$178,D$183,D$185,D$192,D$169,D$170))*0.01)</f>
        <v>509.62560464091575</v>
      </c>
      <c r="CH199" s="477">
        <f t="shared" si="143"/>
        <v>0.82209282841823061</v>
      </c>
      <c r="CI199" s="319"/>
      <c r="CJ199" s="319"/>
      <c r="CK199" s="319"/>
      <c r="CL199" s="319"/>
      <c r="CM199" s="319"/>
      <c r="CN199" s="442"/>
    </row>
    <row r="200" spans="1:112" ht="15">
      <c r="A200" s="141">
        <f t="shared" si="146"/>
        <v>41355</v>
      </c>
      <c r="B200" s="307">
        <v>0.31944444444444448</v>
      </c>
      <c r="C200" s="304">
        <f t="shared" si="174"/>
        <v>23.666666666666668</v>
      </c>
      <c r="D200" s="65"/>
      <c r="E200" s="66"/>
      <c r="F200" s="66"/>
      <c r="G200" s="66"/>
      <c r="H200" s="66"/>
      <c r="I200" s="66"/>
      <c r="J200" s="86"/>
      <c r="K200" s="86"/>
      <c r="L200" s="63"/>
      <c r="M200" s="86">
        <v>70</v>
      </c>
      <c r="N200" s="66">
        <v>90</v>
      </c>
      <c r="O200" s="265"/>
      <c r="P200" s="209">
        <f>(N200-M200)*P$1</f>
        <v>190</v>
      </c>
      <c r="Q200" s="212">
        <f>(((M200*N4)*Q199)+((N200-M200)*N4*2))/(N200*N4)</f>
        <v>1.2879446630032054</v>
      </c>
      <c r="R200" s="226">
        <f>10*Q200/D197</f>
        <v>4.2569598332617771</v>
      </c>
      <c r="S200" s="86"/>
      <c r="T200" s="86"/>
      <c r="U200" s="86"/>
      <c r="V200" s="65"/>
      <c r="W200" s="66"/>
      <c r="X200" s="66"/>
      <c r="Y200" s="66"/>
      <c r="Z200" s="66"/>
      <c r="AA200" s="86"/>
      <c r="AB200" s="86"/>
      <c r="AC200" s="63"/>
      <c r="AD200" s="87"/>
      <c r="AE200" s="87"/>
      <c r="AF200" s="87"/>
      <c r="AG200" s="66"/>
      <c r="AH200" s="66"/>
      <c r="AI200" s="64"/>
      <c r="AJ200" s="63"/>
      <c r="AK200" s="65"/>
      <c r="AL200" s="66">
        <v>35.6</v>
      </c>
      <c r="AM200" s="72">
        <v>3461</v>
      </c>
      <c r="AN200" s="89">
        <f t="shared" si="166"/>
        <v>61.331830985915495</v>
      </c>
      <c r="AO200" s="488">
        <f t="shared" si="167"/>
        <v>23.038607804232804</v>
      </c>
      <c r="AP200" s="72">
        <v>1882</v>
      </c>
      <c r="AQ200" s="76">
        <f t="shared" si="164"/>
        <v>151214.55000000002</v>
      </c>
      <c r="AR200" s="76">
        <f t="shared" si="175"/>
        <v>1162.7397887323766</v>
      </c>
      <c r="AS200" s="230">
        <f t="shared" si="176"/>
        <v>48.447491197182359</v>
      </c>
      <c r="AT200" s="72">
        <f>AR200/(AVERAGE(AN200)*(AVERAGE(D$197,D$190,D$177,D$178,D$183,D$185,D$192,D$199,D$170))*AVERAGE(E$197,E$190,E$177,E$178,E$183,E$185,E$192,E$199,E$170)*0.0001)</f>
        <v>652.119982640854</v>
      </c>
      <c r="AU200" s="66"/>
      <c r="AV200" s="143">
        <f>AR200/(AVERAGE(AN200)*AVERAGE(D$197,D$190,D$177,D$178,D$183,D$185,D$192,D$199,D$170)*0.01)</f>
        <v>508.4817314786859</v>
      </c>
      <c r="AW200" s="511">
        <f t="shared" si="157"/>
        <v>0.82288732394364938</v>
      </c>
      <c r="AX200" s="66">
        <v>67.7</v>
      </c>
      <c r="AY200" s="66">
        <v>30.7</v>
      </c>
      <c r="AZ200" s="66">
        <v>0</v>
      </c>
      <c r="BA200" s="66">
        <v>100</v>
      </c>
      <c r="BB200" s="66">
        <v>135</v>
      </c>
      <c r="BC200" s="63"/>
      <c r="BD200" s="64"/>
      <c r="BE200" s="147"/>
      <c r="BF200" s="86"/>
      <c r="BG200" s="65"/>
      <c r="BH200" s="66"/>
      <c r="BI200" s="66"/>
      <c r="BJ200" s="66"/>
      <c r="BK200" s="66"/>
      <c r="BL200" s="86"/>
      <c r="BM200" s="86"/>
      <c r="BN200" s="63"/>
      <c r="BO200" s="87"/>
      <c r="BP200" s="87"/>
      <c r="BQ200" s="87"/>
      <c r="BR200" s="66"/>
      <c r="BS200" s="64"/>
      <c r="BT200" s="66"/>
      <c r="BU200" s="67"/>
      <c r="BV200" s="65"/>
      <c r="BW200" s="66">
        <v>51</v>
      </c>
      <c r="BX200" s="72">
        <v>1995</v>
      </c>
      <c r="BY200" s="443">
        <f t="shared" si="170"/>
        <v>30.422535211267604</v>
      </c>
      <c r="BZ200" s="443">
        <f t="shared" si="171"/>
        <v>24.521296296296299</v>
      </c>
      <c r="CA200" s="72">
        <v>1058</v>
      </c>
      <c r="CB200" s="76">
        <f t="shared" si="142"/>
        <v>84219.706250000003</v>
      </c>
      <c r="CC200" s="289">
        <f t="shared" si="179"/>
        <v>621.91901408450701</v>
      </c>
      <c r="CD200" s="289">
        <f t="shared" si="180"/>
        <v>25.913292253521124</v>
      </c>
      <c r="CE200" s="72">
        <f>CC200/(AVERAGE(BY199,BY200)*(AVERAGE(D$197,D$190,D$177,D$178,D$183,D$185,D$192,D$199,D$170))*AVERAGE(E$197,E$190,E$177,E$178,E$183,E$185,E$192,E$199,E$170)*0.0001)</f>
        <v>685.41456955806518</v>
      </c>
      <c r="CF200" s="66"/>
      <c r="CG200" s="72">
        <f>CC200/(BY200*AVERAGE((D$197,D$190,D$177,D$178,D$183,D$185,D$192,D$199,D$170))*0.01)</f>
        <v>548.29865782041418</v>
      </c>
      <c r="CH200" s="433">
        <f t="shared" si="143"/>
        <v>0.83367160064947321</v>
      </c>
      <c r="CI200" s="66">
        <v>67.8</v>
      </c>
      <c r="CJ200" s="66">
        <v>31.2</v>
      </c>
      <c r="CK200" s="66">
        <v>0</v>
      </c>
      <c r="CL200" s="66">
        <v>108</v>
      </c>
      <c r="CM200" s="66">
        <v>300</v>
      </c>
      <c r="CN200" s="110"/>
    </row>
    <row r="201" spans="1:112" ht="15">
      <c r="A201" s="141">
        <f t="shared" si="146"/>
        <v>41356</v>
      </c>
      <c r="B201" s="307">
        <f>B198</f>
        <v>0.33333333333333331</v>
      </c>
      <c r="C201" s="304">
        <f t="shared" si="174"/>
        <v>24.333333333333332</v>
      </c>
      <c r="D201" s="65"/>
      <c r="E201" s="66"/>
      <c r="F201" s="66"/>
      <c r="G201" s="66"/>
      <c r="H201" s="66"/>
      <c r="I201" s="66"/>
      <c r="J201" s="86"/>
      <c r="K201" s="86"/>
      <c r="L201" s="63"/>
      <c r="M201" s="86"/>
      <c r="N201" s="66"/>
      <c r="O201" s="265"/>
      <c r="P201" s="209"/>
      <c r="Q201" s="212"/>
      <c r="R201" s="226"/>
      <c r="S201" s="86"/>
      <c r="T201" s="86"/>
      <c r="U201" s="86"/>
      <c r="V201" s="65"/>
      <c r="W201" s="66"/>
      <c r="X201" s="66"/>
      <c r="Y201" s="66"/>
      <c r="Z201" s="66"/>
      <c r="AA201" s="86"/>
      <c r="AB201" s="86"/>
      <c r="AC201" s="63"/>
      <c r="AD201" s="87"/>
      <c r="AE201" s="87"/>
      <c r="AF201" s="87"/>
      <c r="AG201" s="66"/>
      <c r="AH201" s="66"/>
      <c r="AI201" s="64"/>
      <c r="AJ201" s="63"/>
      <c r="AK201" s="65"/>
      <c r="AL201" s="66">
        <v>35.6</v>
      </c>
      <c r="AM201" s="301">
        <v>3487</v>
      </c>
      <c r="AN201" s="89">
        <f>(AM201-AM200)*AQ$1/((C201)/24)</f>
        <v>55.390684931506854</v>
      </c>
      <c r="AO201" s="488">
        <f>AQ$3/AN201</f>
        <v>25.509704415954413</v>
      </c>
      <c r="AP201" s="72">
        <v>1900</v>
      </c>
      <c r="AQ201" s="76">
        <f t="shared" ref="AQ201:AQ275" si="181">((AP201-AP$55)*AQ$2)+AQ$55</f>
        <v>152300.79375000001</v>
      </c>
      <c r="AR201" s="76">
        <f>(AQ201-AQ200)/(C201/24)</f>
        <v>1071.3636986301312</v>
      </c>
      <c r="AS201" s="230">
        <f>(AQ201-AQ200)/C201</f>
        <v>44.640154109588806</v>
      </c>
      <c r="AT201" s="72">
        <f>AR201/(AVERAGE(AN201)*(AVERAGE(D$197,D$190,D$177,D$178,D$183,D$185,D$192,D$199,D$170))*AVERAGE(E$197,E$190,E$177,E$178,E$183,E$185,E$192,E$199,E$170)*0.0001)</f>
        <v>665.32079200606006</v>
      </c>
      <c r="AU201" s="66"/>
      <c r="AV201" s="143">
        <f>AR201/(AVERAGE(AN201)*AVERAGE(D$197,D$190,D$177,D$178,D$183,D$185,D$192,D$199,D$170)*0.01)</f>
        <v>518.77488393777378</v>
      </c>
      <c r="AW201" s="511">
        <f t="shared" si="157"/>
        <v>0.75821917808218775</v>
      </c>
      <c r="AX201" s="66"/>
      <c r="AY201" s="66"/>
      <c r="AZ201" s="66"/>
      <c r="BA201" s="66"/>
      <c r="BB201" s="66"/>
      <c r="BC201" s="63"/>
      <c r="BD201" s="64"/>
      <c r="BE201" s="147"/>
      <c r="BF201" s="86"/>
      <c r="BG201" s="65"/>
      <c r="BH201" s="66"/>
      <c r="BI201" s="66"/>
      <c r="BJ201" s="66"/>
      <c r="BK201" s="66"/>
      <c r="BL201" s="86"/>
      <c r="BM201" s="86"/>
      <c r="BN201" s="63"/>
      <c r="BO201" s="87"/>
      <c r="BP201" s="87"/>
      <c r="BQ201" s="87"/>
      <c r="BR201" s="66"/>
      <c r="BS201" s="64"/>
      <c r="BT201" s="66"/>
      <c r="BU201" s="67"/>
      <c r="BV201" s="65"/>
      <c r="BW201" s="66">
        <v>51</v>
      </c>
      <c r="BX201" s="72">
        <v>2010</v>
      </c>
      <c r="BY201" s="443">
        <f>(BX201-BX200)*CB$1/((C201)/24)</f>
        <v>29.589041095890412</v>
      </c>
      <c r="BZ201" s="443">
        <f>CB$3/BY201</f>
        <v>25.212037037037035</v>
      </c>
      <c r="CA201" s="72">
        <v>1067</v>
      </c>
      <c r="CB201" s="76">
        <f t="shared" ref="CB201:CB247" si="182">((CA201-CA$55)*CB$2)+CB$55</f>
        <v>84771.659375000003</v>
      </c>
      <c r="CC201" s="289">
        <f t="shared" si="179"/>
        <v>544.39212328767121</v>
      </c>
      <c r="CD201" s="289">
        <f t="shared" si="180"/>
        <v>22.683005136986303</v>
      </c>
      <c r="CE201" s="72">
        <f>CC201/(AVERAGE(BY200,BY201)*(AVERAGE(D$197,D$190,D$177,D$178,D$183,D$185,D$192,D$199,D$170))*AVERAGE(E$197,E$190,E$177,E$178,E$183,E$185,E$192,E$199,E$170)*0.0001)</f>
        <v>624.07631201381776</v>
      </c>
      <c r="CF201" s="66"/>
      <c r="CG201" s="72">
        <f>CC201/(BY201*AVERAGE((D$197,D$190,D$177,D$178,D$183,D$185,D$192,D$199,D$170))*0.01)</f>
        <v>493.46879203837278</v>
      </c>
      <c r="CH201" s="433">
        <f t="shared" si="143"/>
        <v>0.72974815454111419</v>
      </c>
      <c r="CI201" s="66"/>
      <c r="CJ201" s="66"/>
      <c r="CK201" s="66"/>
      <c r="CL201" s="66"/>
      <c r="CM201" s="66"/>
      <c r="CN201" s="110"/>
    </row>
    <row r="202" spans="1:112" ht="15">
      <c r="A202" s="141">
        <f t="shared" si="146"/>
        <v>41357</v>
      </c>
      <c r="B202" s="307">
        <f>B201</f>
        <v>0.33333333333333331</v>
      </c>
      <c r="C202" s="304">
        <f t="shared" si="174"/>
        <v>24</v>
      </c>
      <c r="D202" s="65"/>
      <c r="E202" s="66"/>
      <c r="F202" s="66"/>
      <c r="G202" s="66"/>
      <c r="H202" s="66"/>
      <c r="I202" s="66"/>
      <c r="J202" s="86"/>
      <c r="K202" s="86"/>
      <c r="L202" s="63"/>
      <c r="M202" s="86">
        <v>55</v>
      </c>
      <c r="N202" s="66">
        <v>85</v>
      </c>
      <c r="O202" s="265"/>
      <c r="P202" s="209">
        <f>(N202-M202)*P$1</f>
        <v>285</v>
      </c>
      <c r="Q202" s="212">
        <f>(((M202*N$4)*Q200)+((N202-M202)*N$4*2))/(N202*N$4)</f>
        <v>1.5392583113550151</v>
      </c>
      <c r="R202" s="226">
        <f>10*Q202/(D199*(100-R200)/100)</f>
        <v>4.2307824774201785</v>
      </c>
      <c r="S202" s="86"/>
      <c r="T202" s="86"/>
      <c r="U202" s="86"/>
      <c r="V202" s="65"/>
      <c r="W202" s="66"/>
      <c r="X202" s="66"/>
      <c r="Y202" s="66"/>
      <c r="Z202" s="66"/>
      <c r="AA202" s="86"/>
      <c r="AB202" s="86"/>
      <c r="AC202" s="63"/>
      <c r="AD202" s="87"/>
      <c r="AE202" s="87"/>
      <c r="AF202" s="87"/>
      <c r="AG202" s="66"/>
      <c r="AH202" s="66"/>
      <c r="AI202" s="64"/>
      <c r="AJ202" s="63"/>
      <c r="AK202" s="65"/>
      <c r="AL202" s="66">
        <v>35.6</v>
      </c>
      <c r="AM202" s="301">
        <v>3517</v>
      </c>
      <c r="AN202" s="89">
        <f>(AM202-AM201)*AQ$1/((C202)/24)</f>
        <v>64.800000000000011</v>
      </c>
      <c r="AO202" s="488">
        <f>AQ$3/AN202</f>
        <v>21.80555555555555</v>
      </c>
      <c r="AP202" s="72">
        <v>1917</v>
      </c>
      <c r="AQ202" s="76">
        <f t="shared" si="181"/>
        <v>153326.69062500002</v>
      </c>
      <c r="AR202" s="76">
        <f>(AQ202-AQ201)/(C202/24)</f>
        <v>1025.8968750000058</v>
      </c>
      <c r="AS202" s="230">
        <f>(AQ202-AQ201)/C202</f>
        <v>42.74570312500024</v>
      </c>
      <c r="AT202" s="72">
        <f>AR202/(AVERAGE(AN202)*(AVERAGE(D$197,D$190,D$177,D$178,D$183,D$185,D$192,D$199,D$170))*AVERAGE(E$197,E$190,E$177,E$178,E$183,E$185,E$192,E$199,E$170)*0.0001)</f>
        <v>544.5773890123736</v>
      </c>
      <c r="AU202" s="66"/>
      <c r="AV202" s="143">
        <f>AR202/(AVERAGE(AN202)*AVERAGE(D$197,D$190,D$177,D$178,D$183,D$185,D$192,D$199,D$170)*0.01)</f>
        <v>424.62684944536755</v>
      </c>
      <c r="AW202" s="511">
        <f t="shared" si="157"/>
        <v>0.7260416666666708</v>
      </c>
      <c r="AX202" s="66"/>
      <c r="AY202" s="66"/>
      <c r="AZ202" s="66"/>
      <c r="BA202" s="66"/>
      <c r="BB202" s="66"/>
      <c r="BC202" s="63" t="s">
        <v>146</v>
      </c>
      <c r="BD202" s="64"/>
      <c r="BE202" s="147"/>
      <c r="BF202" s="86"/>
      <c r="BG202" s="65"/>
      <c r="BH202" s="66"/>
      <c r="BI202" s="66"/>
      <c r="BJ202" s="66"/>
      <c r="BK202" s="66"/>
      <c r="BL202" s="86"/>
      <c r="BM202" s="86"/>
      <c r="BN202" s="63"/>
      <c r="BO202" s="87"/>
      <c r="BP202" s="87"/>
      <c r="BQ202" s="87"/>
      <c r="BR202" s="66"/>
      <c r="BS202" s="64"/>
      <c r="BT202" s="66"/>
      <c r="BU202" s="67"/>
      <c r="BV202" s="65"/>
      <c r="BW202" s="66">
        <v>51</v>
      </c>
      <c r="BX202" s="72">
        <v>2028</v>
      </c>
      <c r="BY202" s="443">
        <f>(BX202-BX201)*CB$1/((C202)/24)</f>
        <v>36</v>
      </c>
      <c r="BZ202" s="443">
        <f>CB$3/BY202</f>
        <v>20.722222222222221</v>
      </c>
      <c r="CA202" s="72">
        <v>1076</v>
      </c>
      <c r="CB202" s="76">
        <f t="shared" si="182"/>
        <v>85323.612500000003</v>
      </c>
      <c r="CC202" s="289">
        <f t="shared" si="179"/>
        <v>551.953125</v>
      </c>
      <c r="CD202" s="289">
        <f t="shared" si="180"/>
        <v>22.998046875</v>
      </c>
      <c r="CE202" s="72">
        <f>CC202/(AVERAGE(BY201,BY202)*(AVERAGE(D$197,D$190,D$177,D$178,D$183,D$185,D$192,D$199,D$170))*AVERAGE(E$197,E$190,E$177,E$178,E$183,E$185,E$192,E$199,E$170)*0.0001)</f>
        <v>578.93767798803822</v>
      </c>
      <c r="CF202" s="66"/>
      <c r="CG202" s="72">
        <f>CC202/(BY202*AVERAGE((D$197,D$190,D$177,D$178,D$183,D$185,D$192,D$199,D$170))*0.01)</f>
        <v>411.22399336531066</v>
      </c>
      <c r="CH202" s="433">
        <f t="shared" si="143"/>
        <v>0.73988354557640745</v>
      </c>
      <c r="CI202" s="66"/>
      <c r="CJ202" s="66"/>
      <c r="CK202" s="66"/>
      <c r="CL202" s="66"/>
      <c r="CM202" s="66"/>
      <c r="CN202" s="110" t="s">
        <v>146</v>
      </c>
    </row>
    <row r="203" spans="1:112" ht="15">
      <c r="A203" s="141">
        <f t="shared" si="146"/>
        <v>41358</v>
      </c>
      <c r="B203" s="307">
        <f>B202</f>
        <v>0.33333333333333331</v>
      </c>
      <c r="C203" s="304">
        <f t="shared" si="174"/>
        <v>24</v>
      </c>
      <c r="D203" s="65"/>
      <c r="E203" s="66"/>
      <c r="F203" s="66"/>
      <c r="G203" s="66"/>
      <c r="H203" s="66"/>
      <c r="I203" s="66"/>
      <c r="J203" s="86"/>
      <c r="K203" s="86"/>
      <c r="L203" s="63"/>
      <c r="M203" s="86"/>
      <c r="N203" s="66"/>
      <c r="O203" s="265"/>
      <c r="P203" s="209"/>
      <c r="Q203" s="212"/>
      <c r="R203" s="226"/>
      <c r="S203" s="86"/>
      <c r="T203" s="86"/>
      <c r="U203" s="86"/>
      <c r="V203" s="65"/>
      <c r="W203" s="66"/>
      <c r="X203" s="66"/>
      <c r="Y203" s="66"/>
      <c r="Z203" s="66"/>
      <c r="AA203" s="86"/>
      <c r="AB203" s="86"/>
      <c r="AC203" s="63"/>
      <c r="AD203" s="87"/>
      <c r="AE203" s="87"/>
      <c r="AF203" s="87"/>
      <c r="AG203" s="66"/>
      <c r="AH203" s="66"/>
      <c r="AI203" s="64"/>
      <c r="AJ203" s="63"/>
      <c r="AK203" s="65"/>
      <c r="AL203" s="66">
        <v>35.6</v>
      </c>
      <c r="AM203" s="301">
        <v>3546</v>
      </c>
      <c r="AN203" s="89">
        <f>(AM203-AM202)*AQ$1/((C203)/24)</f>
        <v>62.64</v>
      </c>
      <c r="AO203" s="488">
        <f>AQ$3/AN203</f>
        <v>22.557471264367816</v>
      </c>
      <c r="AP203" s="72">
        <v>1934</v>
      </c>
      <c r="AQ203" s="76">
        <f t="shared" si="181"/>
        <v>154352.58750000002</v>
      </c>
      <c r="AR203" s="76">
        <f>(AQ203-AQ202)/(C203/24)</f>
        <v>1025.8968750000058</v>
      </c>
      <c r="AS203" s="230">
        <f>(AQ203-AQ202)/C203</f>
        <v>42.74570312500024</v>
      </c>
      <c r="AT203" s="72">
        <f>AR203/(AVERAGE(AN203)*(AVERAGE(D$197,D$190,D$177,D$178,D$183,D$185,D$192,D$199,D$170))*AVERAGE(E$197,E$190,E$177,E$178,E$183,E$185,E$192,E$199,E$170)*0.0001)</f>
        <v>563.3559196679729</v>
      </c>
      <c r="AU203" s="66"/>
      <c r="AV203" s="143">
        <f>AR203/(AVERAGE(AN203)*AVERAGE(D$197,D$190,D$177,D$178,D$183,D$185,D$192,D$199,D$170)*0.01)</f>
        <v>439.2691545986562</v>
      </c>
      <c r="AW203" s="511">
        <f t="shared" si="157"/>
        <v>0.7260416666666708</v>
      </c>
      <c r="AX203" s="66"/>
      <c r="AY203" s="66"/>
      <c r="AZ203" s="66"/>
      <c r="BA203" s="66"/>
      <c r="BB203" s="66"/>
      <c r="BC203" s="63"/>
      <c r="BD203" s="64"/>
      <c r="BE203" s="147"/>
      <c r="BF203" s="86"/>
      <c r="BG203" s="65"/>
      <c r="BH203" s="66"/>
      <c r="BI203" s="66"/>
      <c r="BJ203" s="66"/>
      <c r="BK203" s="66"/>
      <c r="BL203" s="86"/>
      <c r="BM203" s="86"/>
      <c r="BN203" s="63"/>
      <c r="BO203" s="87"/>
      <c r="BP203" s="87"/>
      <c r="BQ203" s="87"/>
      <c r="BR203" s="66"/>
      <c r="BS203" s="64"/>
      <c r="BT203" s="66"/>
      <c r="BU203" s="67"/>
      <c r="BV203" s="65"/>
      <c r="BW203" s="66">
        <v>51</v>
      </c>
      <c r="BX203" s="72">
        <v>2044</v>
      </c>
      <c r="BY203" s="443">
        <f>(BX203-BX202)*CB$1/((C203)/24)</f>
        <v>32</v>
      </c>
      <c r="BZ203" s="443">
        <f>CB$3/BY203</f>
        <v>23.3125</v>
      </c>
      <c r="CA203" s="72">
        <v>1085</v>
      </c>
      <c r="CB203" s="76">
        <f t="shared" si="182"/>
        <v>85875.565625000003</v>
      </c>
      <c r="CC203" s="289">
        <f t="shared" si="179"/>
        <v>551.953125</v>
      </c>
      <c r="CD203" s="289">
        <f t="shared" si="180"/>
        <v>22.998046875</v>
      </c>
      <c r="CE203" s="72">
        <f>CC203/(AVERAGE(BY202,BY203)*(AVERAGE(D$197,D$190,D$177,D$178,D$183,D$185,D$192,D$199,D$170))*AVERAGE(E$197,E$190,E$177,E$178,E$183,E$185,E$192,E$199,E$170)*0.0001)</f>
        <v>558.41128166936483</v>
      </c>
      <c r="CF203" s="66"/>
      <c r="CG203" s="72">
        <f>CC203/(BY203*AVERAGE((D$197,D$190,D$177,D$178,D$183,D$185,D$192,D$199,D$170))*0.01)</f>
        <v>462.62699253597447</v>
      </c>
      <c r="CH203" s="433">
        <f t="shared" si="143"/>
        <v>0.73988354557640745</v>
      </c>
      <c r="CI203" s="66"/>
      <c r="CJ203" s="66"/>
      <c r="CK203" s="66"/>
      <c r="CL203" s="66"/>
      <c r="CM203" s="66"/>
      <c r="CN203" s="110"/>
    </row>
    <row r="204" spans="1:112" s="337" customFormat="1" ht="15">
      <c r="A204" s="309">
        <f t="shared" si="146"/>
        <v>41359</v>
      </c>
      <c r="B204" s="310">
        <v>0.3263888888888889</v>
      </c>
      <c r="C204" s="304">
        <f t="shared" si="174"/>
        <v>23.833333333333336</v>
      </c>
      <c r="D204" s="339">
        <v>3.43</v>
      </c>
      <c r="E204" s="365">
        <v>78.19</v>
      </c>
      <c r="F204" s="319"/>
      <c r="G204" s="319"/>
      <c r="H204" s="319"/>
      <c r="I204" s="319"/>
      <c r="J204" s="317"/>
      <c r="K204" s="317"/>
      <c r="L204" s="320"/>
      <c r="M204" s="317">
        <v>55</v>
      </c>
      <c r="N204" s="319">
        <v>85</v>
      </c>
      <c r="O204" s="472"/>
      <c r="P204" s="209">
        <f>(N204-M204)*P$1</f>
        <v>285</v>
      </c>
      <c r="Q204" s="212">
        <f>(((M204*N$4)*Q202)+((N204-M204)*N$4*2))/(N204*N$4)</f>
        <v>1.7018730249944216</v>
      </c>
      <c r="R204" s="226">
        <f>10*Q204/(D199*(100-R202)/100)</f>
        <v>4.6764642538857473</v>
      </c>
      <c r="S204" s="317"/>
      <c r="T204" s="317"/>
      <c r="U204" s="317"/>
      <c r="V204" s="339">
        <v>2.31</v>
      </c>
      <c r="W204" s="365">
        <v>66.72</v>
      </c>
      <c r="X204" s="319"/>
      <c r="Y204" s="319"/>
      <c r="Z204" s="319"/>
      <c r="AA204" s="317"/>
      <c r="AB204" s="317"/>
      <c r="AC204" s="320"/>
      <c r="AD204" s="391">
        <f>D199*(100-E199)/(100-W204)</f>
        <v>2.3978365384615383</v>
      </c>
      <c r="AE204" s="387">
        <f>D199-V204</f>
        <v>1.4899999999999998</v>
      </c>
      <c r="AF204" s="393">
        <f>100*(AVERAGE(D199,D170,D177,D169,D197,D192,D185,D178,D183,D190)-V204)/AVERAGE(D199,D170,D177,D169,D197,D192,D185,D178,D183,D190)</f>
        <v>38.638089844394166</v>
      </c>
      <c r="AG204" s="393">
        <f>100*(1-((100-AVERAGE(E197,E170,E177,E169,E199,E190,E192,E178,E183,E185))/(100-W204)))</f>
        <v>34.333780202169649</v>
      </c>
      <c r="AH204" s="387">
        <f>E199-W204</f>
        <v>12.280000000000001</v>
      </c>
      <c r="AI204" s="393">
        <f>100*(1-((V204*W204)/(AVERAGE(D199,D170,D177,D169,D197,D192,D185,D178,D183,D190)*AVERAGE(E197,E170,E177,E169,E199,E190,E192,E178,E183,E185))))</f>
        <v>47.610218450375342</v>
      </c>
      <c r="AJ204" s="389">
        <f>100*100*((AVERAGE(E197,E170,E177,E169,E199,E190,E192,E178,E183,E185)-W204)/((100-W204)*AVERAGE(E197,E170,E177,E169,E199,E190,E192,E178,E183,E185)))</f>
        <v>43.935270240545464</v>
      </c>
      <c r="AK204" s="318">
        <v>7.09</v>
      </c>
      <c r="AL204" s="470">
        <v>34.700000000000003</v>
      </c>
      <c r="AM204" s="301">
        <v>3573</v>
      </c>
      <c r="AN204" s="89">
        <f>(AM204-AM203)*AQ$1/((C204)/24)</f>
        <v>58.727832167832169</v>
      </c>
      <c r="AO204" s="488">
        <f>AQ$3/AN204</f>
        <v>24.060142318244171</v>
      </c>
      <c r="AP204" s="313">
        <v>1952</v>
      </c>
      <c r="AQ204" s="76">
        <f t="shared" si="181"/>
        <v>155438.83125000002</v>
      </c>
      <c r="AR204" s="76">
        <f>(AQ204-AQ203)/(C204/24)</f>
        <v>1093.8398601398542</v>
      </c>
      <c r="AS204" s="230">
        <f>(AQ204-AQ203)/C204</f>
        <v>45.576660839160589</v>
      </c>
      <c r="AT204" s="72">
        <f>AR204/(AVERAGE(AN204)*(AVERAGE(D$197,D$190,D$177,D$178,D$183,D$185,D$192,D$199,D$170))*AVERAGE(E$197,E$190,E$177,E$178,E$183,E$185,E$192,E$199,E$170)*0.0001)</f>
        <v>640.67928119102078</v>
      </c>
      <c r="AU204" s="313">
        <f>(AQ204-AQ175)/(AVERAGE(AN175:AN204)*((AVERAGE(D177,D190,D178,D183,D197,D192,D185,D199)*AVERAGE(E177,E190,E178,E183,E197,E192,E185,E199))-(V204*W204))*0.0001*(SUM(C175:C204)/24))</f>
        <v>1304.0970403103863</v>
      </c>
      <c r="AV204" s="143">
        <f>AR204/(AVERAGE(AN204)*AVERAGE(D$197,D$190,D$177,D$178,D$183,D$185,D$192,D$199,D$170)*0.01)</f>
        <v>499.56099934748579</v>
      </c>
      <c r="AW204" s="511">
        <f t="shared" si="157"/>
        <v>0.77412587412586986</v>
      </c>
      <c r="AX204" s="319">
        <v>68.599999999999994</v>
      </c>
      <c r="AY204" s="319">
        <v>31.3</v>
      </c>
      <c r="AZ204" s="319">
        <v>0</v>
      </c>
      <c r="BA204" s="319">
        <v>88</v>
      </c>
      <c r="BB204" s="319">
        <v>135</v>
      </c>
      <c r="BC204" s="320"/>
      <c r="BD204" s="368"/>
      <c r="BE204" s="330"/>
      <c r="BF204" s="317"/>
      <c r="BG204" s="339">
        <v>2.33</v>
      </c>
      <c r="BH204" s="365">
        <v>64.31</v>
      </c>
      <c r="BI204" s="319"/>
      <c r="BJ204" s="319"/>
      <c r="BK204" s="319"/>
      <c r="BL204" s="317"/>
      <c r="BM204" s="317"/>
      <c r="BN204" s="320"/>
      <c r="BO204" s="376">
        <f>D199*(100-E199)/(100-BH204)</f>
        <v>2.235920425889605</v>
      </c>
      <c r="BP204" s="372">
        <f>D199-BG204</f>
        <v>1.4699999999999998</v>
      </c>
      <c r="BQ204" s="374">
        <f>100*(AVERAGE(D199,D170,D177,D169,D197,D192,D190,D178,D183,D185)-BG204)/AVERAGE(D199,D170,D177,D169,D197,D192,D190,D178,D183,D185)</f>
        <v>38.106817894994983</v>
      </c>
      <c r="BR204" s="367">
        <f>100*(1-((100-AVERAGE(E199,E170,E177,E169,E197,E192,E190,E178,E183,E185))/(100-BH204)))</f>
        <v>38.767951950916334</v>
      </c>
      <c r="BS204" s="375">
        <f>E197-BH204</f>
        <v>18.702820512820452</v>
      </c>
      <c r="BT204" s="312">
        <f>100*(1-((BG204*BH204)/(AVERAGE(D199,D170,D177,D169,D197,D192,D190,D178,D183,D185)*AVERAGE(E199,E170,E177,E169,E197,E192,E190,E178,E183,E185))))</f>
        <v>49.065388183652267</v>
      </c>
      <c r="BU204" s="412">
        <f>100*100*((AVERAGE(E199,E170,E177,E169,E197,E192,E190,E178,E183,E185)-BH204)/((100-BH204)*AVERAGE(E199,E170,E177,E169,E197,E192,E190,E178,E183,E185)))</f>
        <v>49.609464370263446</v>
      </c>
      <c r="BV204" s="318">
        <v>7.38</v>
      </c>
      <c r="BW204" s="365">
        <v>46.3</v>
      </c>
      <c r="BX204" s="72">
        <v>2059</v>
      </c>
      <c r="BY204" s="443">
        <f>(BX204-BX203)*CB$1/((C204)/24)</f>
        <v>30.209790209790206</v>
      </c>
      <c r="BZ204" s="443">
        <f>CB$3/BY204</f>
        <v>24.693981481481483</v>
      </c>
      <c r="CA204" s="313">
        <v>1093</v>
      </c>
      <c r="CB204" s="76">
        <f t="shared" si="182"/>
        <v>86366.190625000003</v>
      </c>
      <c r="CC204" s="289">
        <f t="shared" si="179"/>
        <v>494.055944055944</v>
      </c>
      <c r="CD204" s="289">
        <f t="shared" si="180"/>
        <v>20.585664335664333</v>
      </c>
      <c r="CE204" s="313">
        <f>CC204/(AVERAGE(BY203,BY204)*(AVERAGE(D$197,D$190,D$177,D$178,D$183,D$185,D$192,D$199,D$170))*AVERAGE(E$197,E$190,E$177,E$178,E$183,E$185,E$192,E$199,E$170)*0.0001)</f>
        <v>546.35923961894684</v>
      </c>
      <c r="CF204" s="313">
        <f>(CB204-CB175)/(AVERAGE(BY175:BY204)*((AVERAGE(D190,D178,D185,D192,D197,D199,D183,D177)*AVERAGE(E190,E178,E197,E185,E192,E199,E183,E177))-(BG204*BH204))*0.0001*(SUM(C175:C204)/24))</f>
        <v>1294.5405901240188</v>
      </c>
      <c r="CG204" s="72">
        <f>CC204/(BY204*AVERAGE((D$197,D$190,D$177,D$178,D$183,D$185,D$192,D$199,D$170))*0.01)</f>
        <v>438.63892625633133</v>
      </c>
      <c r="CH204" s="433">
        <f t="shared" si="143"/>
        <v>0.66227338345300801</v>
      </c>
      <c r="CI204" s="319">
        <v>68.7</v>
      </c>
      <c r="CJ204" s="319">
        <v>31.2</v>
      </c>
      <c r="CK204" s="319">
        <v>0</v>
      </c>
      <c r="CL204" s="319">
        <v>73</v>
      </c>
      <c r="CM204" s="319">
        <v>240</v>
      </c>
      <c r="CN204" s="442"/>
    </row>
    <row r="205" spans="1:112" s="69" customFormat="1" ht="15">
      <c r="A205" s="141">
        <f t="shared" si="146"/>
        <v>41360</v>
      </c>
      <c r="B205" s="307">
        <v>0.33333333333333331</v>
      </c>
      <c r="C205" s="304">
        <f t="shared" si="174"/>
        <v>24.166666666666664</v>
      </c>
      <c r="D205" s="65"/>
      <c r="E205" s="66"/>
      <c r="F205" s="66"/>
      <c r="G205" s="66"/>
      <c r="H205" s="66"/>
      <c r="I205" s="66"/>
      <c r="J205" s="86"/>
      <c r="K205" s="86"/>
      <c r="L205" s="63"/>
      <c r="M205" s="86"/>
      <c r="N205" s="66"/>
      <c r="O205" s="265"/>
      <c r="P205" s="209"/>
      <c r="Q205" s="212"/>
      <c r="R205" s="226"/>
      <c r="S205" s="86"/>
      <c r="T205" s="86"/>
      <c r="U205" s="86"/>
      <c r="V205" s="65"/>
      <c r="W205" s="66"/>
      <c r="X205" s="66"/>
      <c r="Y205" s="66"/>
      <c r="Z205" s="66"/>
      <c r="AA205" s="86"/>
      <c r="AB205" s="86"/>
      <c r="AC205" s="63"/>
      <c r="AD205" s="87"/>
      <c r="AE205" s="87"/>
      <c r="AF205" s="87"/>
      <c r="AG205" s="66"/>
      <c r="AH205" s="66"/>
      <c r="AI205" s="64"/>
      <c r="AJ205" s="63"/>
      <c r="AK205" s="65"/>
      <c r="AL205" s="66">
        <v>35.6</v>
      </c>
      <c r="AM205" s="301">
        <v>3602</v>
      </c>
      <c r="AN205" s="89">
        <f t="shared" ref="AN205:AN212" si="183">(AM205-AM204)*AQ$1/((C205)/24)</f>
        <v>62.208000000000006</v>
      </c>
      <c r="AO205" s="488">
        <f t="shared" ref="AO205:AO212" si="184">AQ$3/AN205</f>
        <v>22.714120370370367</v>
      </c>
      <c r="AP205" s="72">
        <v>1968</v>
      </c>
      <c r="AQ205" s="72">
        <f t="shared" si="181"/>
        <v>156404.38125000003</v>
      </c>
      <c r="AR205" s="76">
        <f t="shared" ref="AR205:AR212" si="185">(AQ205-AQ204)/(C205/24)</f>
        <v>958.89103448277604</v>
      </c>
      <c r="AS205" s="230">
        <f t="shared" ref="AS205:AS212" si="186">(AQ205-AQ204)/C205</f>
        <v>39.953793103449001</v>
      </c>
      <c r="AT205" s="72">
        <f>AR205/(AVERAGE(AN205)*(AVERAGE(D$197,D$190,D$177,D$178,D$183,D$185,D$192,D$199,D$204))*AVERAGE(E$197,E$190,E$177,E$178,E$183,E$185,E$192,E$199,E$204)*0.0001)</f>
        <v>541.41330246055304</v>
      </c>
      <c r="AU205" s="66"/>
      <c r="AV205" s="143">
        <f>AR205/(AVERAGE(AN205)*AVERAGE(D$197,D$190,D$177,D$178,D$183,D$185,D$192,D$199,D$204)*0.01)</f>
        <v>421.8528949040263</v>
      </c>
      <c r="AW205" s="511">
        <f t="shared" si="157"/>
        <v>0.67862068965518474</v>
      </c>
      <c r="AX205" s="66"/>
      <c r="AY205" s="66"/>
      <c r="AZ205" s="66"/>
      <c r="BA205" s="66"/>
      <c r="BB205" s="66"/>
      <c r="BC205" s="63"/>
      <c r="BD205" s="64"/>
      <c r="BE205" s="147"/>
      <c r="BF205" s="86"/>
      <c r="BG205" s="65"/>
      <c r="BH205" s="66"/>
      <c r="BI205" s="66"/>
      <c r="BJ205" s="66"/>
      <c r="BK205" s="66"/>
      <c r="BL205" s="86"/>
      <c r="BM205" s="86"/>
      <c r="BN205" s="63"/>
      <c r="BO205" s="87"/>
      <c r="BP205" s="87"/>
      <c r="BQ205" s="87"/>
      <c r="BR205" s="66"/>
      <c r="BS205" s="64"/>
      <c r="BT205" s="66"/>
      <c r="BU205" s="67"/>
      <c r="BV205" s="65"/>
      <c r="BW205" s="66">
        <v>51</v>
      </c>
      <c r="BX205" s="72">
        <v>2076</v>
      </c>
      <c r="BY205" s="443">
        <f t="shared" ref="BY205:BY212" si="187">(BX205-BX204)*CB$1/((C205)/24)</f>
        <v>33.765517241379314</v>
      </c>
      <c r="BZ205" s="443">
        <f t="shared" ref="BZ205:BZ212" si="188">CB$3/BY205</f>
        <v>22.093545751633986</v>
      </c>
      <c r="CA205" s="72">
        <v>1103</v>
      </c>
      <c r="CB205" s="72">
        <f t="shared" si="182"/>
        <v>86979.471875000003</v>
      </c>
      <c r="CC205" s="289">
        <f t="shared" ref="CC205:CC212" si="189">(CB205-CB204)/((C205/24))</f>
        <v>609.05172413793105</v>
      </c>
      <c r="CD205" s="289">
        <f t="shared" ref="CD205:CD212" si="190">(CB205-CB204)/(C205)</f>
        <v>25.377155172413797</v>
      </c>
      <c r="CE205" s="72">
        <f>CC205/(AVERAGE(BY204,BY205)*(AVERAGE(D$197,D$190,D$177,D$178,D$183,D$185,D$192,D$199,D$204))*AVERAGE(E$197,E$190,E$177,E$178,E$183,E$185,E$192,E$199,E$204)*0.0001)</f>
        <v>668.77140261558543</v>
      </c>
      <c r="CF205" s="66"/>
      <c r="CG205" s="72">
        <f>CC205/(BY205*AVERAGE((D$197,D$190,D$177,D$178,D$183,D$185,D$192,D$199,D$204))*0.01)</f>
        <v>493.64959455680082</v>
      </c>
      <c r="CH205" s="433">
        <f t="shared" si="143"/>
        <v>0.81642322270500145</v>
      </c>
      <c r="CI205" s="66"/>
      <c r="CJ205" s="66"/>
      <c r="CK205" s="66"/>
      <c r="CL205" s="66"/>
      <c r="CM205" s="66"/>
      <c r="CN205" s="110"/>
    </row>
    <row r="206" spans="1:112" s="337" customFormat="1" ht="15">
      <c r="A206" s="309">
        <f t="shared" si="146"/>
        <v>41361</v>
      </c>
      <c r="B206" s="310">
        <f>B205</f>
        <v>0.33333333333333331</v>
      </c>
      <c r="C206" s="311">
        <f t="shared" si="174"/>
        <v>24</v>
      </c>
      <c r="D206" s="770">
        <v>3.7</v>
      </c>
      <c r="E206" s="771">
        <v>76.5</v>
      </c>
      <c r="F206" s="313">
        <v>45100</v>
      </c>
      <c r="G206" s="319"/>
      <c r="H206" s="319">
        <v>39.200000000000003</v>
      </c>
      <c r="I206" s="313">
        <v>4228</v>
      </c>
      <c r="J206" s="313">
        <v>1924</v>
      </c>
      <c r="K206" s="317">
        <v>31.2</v>
      </c>
      <c r="L206" s="320">
        <v>213</v>
      </c>
      <c r="M206" s="317">
        <v>55</v>
      </c>
      <c r="N206" s="319">
        <v>85</v>
      </c>
      <c r="O206" s="472"/>
      <c r="P206" s="509">
        <f>((N206-M206)*P$1)-100</f>
        <v>185</v>
      </c>
      <c r="Q206" s="540">
        <f>(((M206*N$4)*Q204)+((N206-M206)*N$4*2))/(N206*N$4)</f>
        <v>1.8070943102905079</v>
      </c>
      <c r="R206" s="655">
        <f>10*Q206/(D199*(100-R204)/100)</f>
        <v>4.988811320989643</v>
      </c>
      <c r="S206" s="317"/>
      <c r="T206" s="317"/>
      <c r="U206" s="317"/>
      <c r="V206" s="318">
        <v>2.4</v>
      </c>
      <c r="W206" s="319">
        <v>65.2</v>
      </c>
      <c r="X206" s="348">
        <v>26300</v>
      </c>
      <c r="Y206" s="319">
        <v>36.5</v>
      </c>
      <c r="Z206" s="348">
        <v>1799</v>
      </c>
      <c r="AA206" s="317">
        <v>400</v>
      </c>
      <c r="AB206" s="317">
        <v>66.3</v>
      </c>
      <c r="AC206" s="320">
        <v>147</v>
      </c>
      <c r="AD206" s="391">
        <f>D204*(100-E204)/(100-W206)</f>
        <v>2.149663793103449</v>
      </c>
      <c r="AE206" s="387">
        <f>D204-V206</f>
        <v>1.0300000000000002</v>
      </c>
      <c r="AF206" s="393">
        <f>100*(AVERAGE(D$199,D$170,D$177,D$204,D$197,D$192,D$185,D$178,D$183,D$190)-V206)/AVERAGE(D$199,D$170,D$177,D$204,D$197,D$192,D$185,D$178,D$183,D$190)</f>
        <v>35.109711194481982</v>
      </c>
      <c r="AG206" s="393">
        <f>100*(1-((100-AVERAGE(E$197,E$170,E$177,E$204,E$199,E$190,E$192,E$178,E$183,E$185))/(100-W206)))</f>
        <v>36.768051871500127</v>
      </c>
      <c r="AH206" s="387">
        <f>E204-W206</f>
        <v>12.989999999999995</v>
      </c>
      <c r="AI206" s="393">
        <f>100*(1-((V206*W206)/(AVERAGE(D$199,D$170,D$177,D$204,D$197,D$192,D$185,D$178,D$183,D$190)*AVERAGE(E$197,E$170,E$177,E$204,E$199,E$190,E$192,E$178,E$183,E$185))))</f>
        <v>45.755092887054573</v>
      </c>
      <c r="AJ206" s="389">
        <f>100*100*((AVERAGE(E$197,E$170,E$177,E$204,E$199,E$190,E$192,E$178,E$183,E$185)-W206)/((100-W206)*AVERAGE(E$197,E$170,E$177,E$204,E$199,E$190,E$192,E$178,E$183,E$185)))</f>
        <v>47.14137945847169</v>
      </c>
      <c r="AK206" s="318"/>
      <c r="AL206" s="319">
        <v>35.6</v>
      </c>
      <c r="AM206" s="313">
        <v>3630</v>
      </c>
      <c r="AN206" s="327">
        <f t="shared" si="183"/>
        <v>60.480000000000004</v>
      </c>
      <c r="AO206" s="489">
        <f t="shared" si="184"/>
        <v>23.363095238095237</v>
      </c>
      <c r="AP206" s="313">
        <v>1984</v>
      </c>
      <c r="AQ206" s="313">
        <f t="shared" si="181"/>
        <v>157369.93125000002</v>
      </c>
      <c r="AR206" s="348">
        <f t="shared" si="185"/>
        <v>965.54999999998836</v>
      </c>
      <c r="AS206" s="512">
        <f t="shared" si="186"/>
        <v>40.231249999999513</v>
      </c>
      <c r="AT206" s="72">
        <f>AR206/(AVERAGE(AN206)*(AVERAGE(D$197,D$190,D$177,D$178,D$183,D$185,D$192,D$199,D$204))*AVERAGE(E$197,E$190,E$177,E$178,E$183,E$185,E$192,E$199,E$204)*0.0001)</f>
        <v>560.7494918341273</v>
      </c>
      <c r="AU206" s="313">
        <f>(AQ206-AQ177)/(AVERAGE(AN177:AN206)*((AVERAGE(D178,D192,D183,D185,D199,D197,D190,D204)*AVERAGE(E178,E192,E183,E185,E199,E197,E190,E204))-(V206*W206))*0.0001*(SUM(C177:C206)/24))</f>
        <v>1304.597120577133</v>
      </c>
      <c r="AV206" s="143">
        <f>AR206/(AVERAGE(AN206)*AVERAGE(D$197,D$190,D$177,D$178,D$183,D$185,D$192,D$199,D$204)*0.01)</f>
        <v>436.91906972201406</v>
      </c>
      <c r="AW206" s="477">
        <f t="shared" si="157"/>
        <v>0.68333333333332513</v>
      </c>
      <c r="AX206" s="319"/>
      <c r="AY206" s="319"/>
      <c r="AZ206" s="319"/>
      <c r="BA206" s="319"/>
      <c r="BB206" s="319"/>
      <c r="BC206" s="320"/>
      <c r="BD206" s="368"/>
      <c r="BE206" s="330"/>
      <c r="BF206" s="317"/>
      <c r="BG206" s="318">
        <v>2.4</v>
      </c>
      <c r="BH206" s="319">
        <v>63.6</v>
      </c>
      <c r="BI206" s="348">
        <v>26200</v>
      </c>
      <c r="BJ206" s="319">
        <v>33.4</v>
      </c>
      <c r="BK206" s="348">
        <v>2591</v>
      </c>
      <c r="BL206" s="317">
        <v>395</v>
      </c>
      <c r="BM206" s="317">
        <v>80</v>
      </c>
      <c r="BN206" s="320">
        <v>112</v>
      </c>
      <c r="BO206" s="376">
        <f>D204*(100-E204)/(100-BH206)</f>
        <v>2.0551730769230776</v>
      </c>
      <c r="BP206" s="372">
        <f>D204-BG206</f>
        <v>1.0300000000000002</v>
      </c>
      <c r="BQ206" s="374">
        <f>100*(AVERAGE(D$199,D$170,D$177,D$204,D$197,D$192,D$190,D$178,D$183,D$185)-BG206)/AVERAGE(D$199,D$170,D$177,D$204,D$197,D$192,D$190,D$178,D$183,D$185)</f>
        <v>35.109711194481982</v>
      </c>
      <c r="BR206" s="367">
        <f>100*(1-((100-AVERAGE(E$199,E$170,E$177,E$204,E$197,E$192,E$190,E$178,E$183,E$185))/(100-BH206)))</f>
        <v>39.54747816286276</v>
      </c>
      <c r="BS206" s="375">
        <f>E204-BH206</f>
        <v>14.589999999999996</v>
      </c>
      <c r="BT206" s="312">
        <f>100*(1-((BG206*BH206)/(AVERAGE(D$199,D$170,D$177,D$204,D$197,D$192,D$190,D$178,D$183,D$185)*AVERAGE(E$199,E$170,E$177,E$204,E$197,E$192,E$190,E$178,E$183,E$185))))</f>
        <v>47.086256251789429</v>
      </c>
      <c r="BU206" s="412">
        <f>100*100*((AVERAGE(E$199,E$170,E$177,E$204,E$197,E$192,E$190,E$178,E$183,E$185)-BH206)/((100-BH206)*AVERAGE(E$199,E$170,E$177,E$204,E$197,E$192,E$190,E$178,E$183,E$185)))</f>
        <v>50.704962047396947</v>
      </c>
      <c r="BV206" s="318"/>
      <c r="BW206" s="319">
        <v>51</v>
      </c>
      <c r="BX206" s="313">
        <v>2083</v>
      </c>
      <c r="BY206" s="470">
        <f t="shared" si="187"/>
        <v>14</v>
      </c>
      <c r="BZ206" s="470">
        <f t="shared" si="188"/>
        <v>53.285714285714285</v>
      </c>
      <c r="CA206" s="313">
        <v>1110</v>
      </c>
      <c r="CB206" s="313">
        <f t="shared" si="182"/>
        <v>87408.768750000003</v>
      </c>
      <c r="CC206" s="334">
        <f t="shared" si="189"/>
        <v>429.296875</v>
      </c>
      <c r="CD206" s="334">
        <f t="shared" si="190"/>
        <v>17.887369791666668</v>
      </c>
      <c r="CE206" s="313">
        <f>CC206/(AVERAGE(BY205,BY206)*(AVERAGE(D$197,D$190,D$177,D$178,D$183,D$185,D$192,D$199,D$204))*AVERAGE(E$197,E$190,E$177,E$178,E$183,E$185,E$192,E$199,E$204)*0.0001)</f>
        <v>631.36301978641279</v>
      </c>
      <c r="CF206" s="313">
        <f>(CB206-CB177)/(AVERAGE(BY177:BY206)*((AVERAGE(D192,D183,D190,D197,D199,D204,D185,D178)*AVERAGE(E192,E183,E199,E190,E197,E204,E185,E178))-(BG206*BH206))*0.0001*(SUM(C177:C206)/24))</f>
        <v>1309.9252526937037</v>
      </c>
      <c r="CG206" s="313">
        <f>CC206/(BY206*AVERAGE((D$197,D$190,D$177,D$178,D$183,D$185,D$192,D$199,D$204))*0.01)</f>
        <v>839.20431074656165</v>
      </c>
      <c r="CH206" s="477">
        <f t="shared" si="143"/>
        <v>0.57546497989276135</v>
      </c>
      <c r="CI206" s="319"/>
      <c r="CJ206" s="319"/>
      <c r="CK206" s="319"/>
      <c r="CL206" s="319"/>
      <c r="CM206" s="319"/>
      <c r="CN206" s="442"/>
    </row>
    <row r="207" spans="1:112" ht="15">
      <c r="A207" s="141">
        <f t="shared" si="146"/>
        <v>41362</v>
      </c>
      <c r="B207" s="307">
        <f>B206</f>
        <v>0.33333333333333331</v>
      </c>
      <c r="C207" s="304">
        <f t="shared" si="174"/>
        <v>24</v>
      </c>
      <c r="D207" s="65"/>
      <c r="E207" s="66"/>
      <c r="F207" s="66"/>
      <c r="G207" s="66"/>
      <c r="H207" s="66"/>
      <c r="I207" s="66"/>
      <c r="J207" s="86"/>
      <c r="K207" s="86"/>
      <c r="L207" s="63"/>
      <c r="M207" s="86">
        <v>70</v>
      </c>
      <c r="N207" s="66">
        <v>80</v>
      </c>
      <c r="O207" s="265"/>
      <c r="P207" s="209">
        <f>(N207-M207)*P$1</f>
        <v>95</v>
      </c>
      <c r="Q207" s="212">
        <f>(((M207*N$4)*Q206)+((N207-M207)*N$4*2))/(N207*N$4)</f>
        <v>1.8312075215041945</v>
      </c>
      <c r="R207" s="226">
        <f>10*Q207/(D199*0.95)</f>
        <v>5.0725970124769928</v>
      </c>
      <c r="S207" s="86"/>
      <c r="T207" s="86"/>
      <c r="U207" s="86"/>
      <c r="V207" s="65"/>
      <c r="W207" s="66"/>
      <c r="X207" s="66"/>
      <c r="Y207" s="66"/>
      <c r="Z207" s="66"/>
      <c r="AA207" s="86"/>
      <c r="AB207" s="86"/>
      <c r="AC207" s="63"/>
      <c r="AD207" s="87"/>
      <c r="AE207" s="87"/>
      <c r="AF207" s="87"/>
      <c r="AG207" s="66"/>
      <c r="AH207" s="66"/>
      <c r="AI207" s="64"/>
      <c r="AJ207" s="63"/>
      <c r="AK207" s="65"/>
      <c r="AL207" s="66">
        <v>35.6</v>
      </c>
      <c r="AM207" s="301">
        <v>3658</v>
      </c>
      <c r="AN207" s="89">
        <f t="shared" si="183"/>
        <v>60.480000000000004</v>
      </c>
      <c r="AO207" s="488">
        <f t="shared" si="184"/>
        <v>23.363095238095237</v>
      </c>
      <c r="AP207" s="72">
        <v>2001</v>
      </c>
      <c r="AQ207" s="72">
        <f t="shared" si="181"/>
        <v>158395.828125</v>
      </c>
      <c r="AR207" s="76">
        <f t="shared" si="185"/>
        <v>1025.8968749999767</v>
      </c>
      <c r="AS207" s="230">
        <f t="shared" si="186"/>
        <v>42.745703124999032</v>
      </c>
      <c r="AT207" s="72">
        <f t="shared" ref="AT207:AT212" si="191">AR207/(AVERAGE(AN207)*(AVERAGE(D$197,D$190,D$206,D$178,D$183,D$185,D$192,D$199,D$204))*AVERAGE(E$197,E$190,E$206,E$178,E$183,E$185,E$192,E$199,E$204)*0.0001)</f>
        <v>599.32288238226886</v>
      </c>
      <c r="AU207" s="66"/>
      <c r="AV207" s="143">
        <f t="shared" ref="AV207:AV212" si="192">AR207/(AVERAGE(AN207)*AVERAGE(D$197,D$190,D$206,D$178,D$183,D$185,D$192,D$199,D$204)*0.01)</f>
        <v>465.64246211519435</v>
      </c>
      <c r="AW207" s="511">
        <f t="shared" si="157"/>
        <v>0.72604166666665015</v>
      </c>
      <c r="AX207" s="66"/>
      <c r="AY207" s="66"/>
      <c r="AZ207" s="66"/>
      <c r="BA207" s="66"/>
      <c r="BB207" s="66"/>
      <c r="BC207" s="63"/>
      <c r="BD207" s="64"/>
      <c r="BE207" s="147"/>
      <c r="BF207" s="86"/>
      <c r="BG207" s="65"/>
      <c r="BH207" s="66"/>
      <c r="BI207" s="66"/>
      <c r="BJ207" s="66"/>
      <c r="BK207" s="66"/>
      <c r="BL207" s="86"/>
      <c r="BM207" s="86"/>
      <c r="BN207" s="63"/>
      <c r="BO207" s="87"/>
      <c r="BP207" s="87"/>
      <c r="BQ207" s="87"/>
      <c r="BR207" s="66"/>
      <c r="BS207" s="64"/>
      <c r="BT207" s="66"/>
      <c r="BU207" s="67"/>
      <c r="BV207" s="65"/>
      <c r="BW207" s="66">
        <v>51</v>
      </c>
      <c r="BX207" s="72">
        <v>2108</v>
      </c>
      <c r="BY207" s="435">
        <f t="shared" si="187"/>
        <v>50</v>
      </c>
      <c r="BZ207" s="435">
        <f t="shared" si="188"/>
        <v>14.92</v>
      </c>
      <c r="CA207" s="72">
        <v>1119</v>
      </c>
      <c r="CB207" s="72">
        <f t="shared" si="182"/>
        <v>87960.721875000003</v>
      </c>
      <c r="CC207" s="289">
        <f t="shared" si="189"/>
        <v>551.953125</v>
      </c>
      <c r="CD207" s="289">
        <f t="shared" si="190"/>
        <v>22.998046875</v>
      </c>
      <c r="CE207" s="72">
        <f t="shared" ref="CE207:CE212" si="193">CC207/(AVERAGE(BY206,BY207)*(AVERAGE(D$197,D$190,D$206,D$178,D$183,D$185,D$192,D$199,D$204))*AVERAGE(E$197,E$190,E$206,E$178,E$183,E$185,E$192,E$199,E$204)*0.0001)</f>
        <v>609.42624517710578</v>
      </c>
      <c r="CF207" s="66"/>
      <c r="CG207" s="72">
        <f>CC207/(AVERAGE(BY206:BY208)*AVERAGE((D$197,D$190,D$206,D$178,D$183,D$185,D$192,D$199,D$204))*0.01)</f>
        <v>668.4596405249082</v>
      </c>
      <c r="CH207" s="433">
        <f t="shared" si="143"/>
        <v>0.73988354557640745</v>
      </c>
      <c r="CI207" s="66"/>
      <c r="CJ207" s="66"/>
      <c r="CK207" s="66"/>
      <c r="CL207" s="66"/>
      <c r="CM207" s="66"/>
      <c r="CN207" s="110"/>
    </row>
    <row r="208" spans="1:112" ht="15">
      <c r="A208" s="141">
        <f t="shared" si="146"/>
        <v>41363</v>
      </c>
      <c r="B208" s="307">
        <f>B207</f>
        <v>0.33333333333333331</v>
      </c>
      <c r="C208" s="304">
        <f t="shared" si="174"/>
        <v>24</v>
      </c>
      <c r="D208" s="65"/>
      <c r="E208" s="66"/>
      <c r="F208" s="66"/>
      <c r="G208" s="66"/>
      <c r="H208" s="66"/>
      <c r="I208" s="66"/>
      <c r="J208" s="86"/>
      <c r="K208" s="86"/>
      <c r="L208" s="63"/>
      <c r="M208" s="86"/>
      <c r="N208" s="66"/>
      <c r="O208" s="265"/>
      <c r="P208" s="209"/>
      <c r="Q208" s="212"/>
      <c r="R208" s="226"/>
      <c r="S208" s="86"/>
      <c r="T208" s="86"/>
      <c r="U208" s="86"/>
      <c r="V208" s="65"/>
      <c r="W208" s="66"/>
      <c r="X208" s="66"/>
      <c r="Y208" s="66"/>
      <c r="Z208" s="66"/>
      <c r="AA208" s="86"/>
      <c r="AB208" s="86"/>
      <c r="AC208" s="63"/>
      <c r="AD208" s="87"/>
      <c r="AE208" s="87"/>
      <c r="AF208" s="87"/>
      <c r="AG208" s="66"/>
      <c r="AH208" s="66"/>
      <c r="AI208" s="64"/>
      <c r="AJ208" s="63"/>
      <c r="AK208" s="65"/>
      <c r="AL208" s="66">
        <v>35.6</v>
      </c>
      <c r="AM208" s="301">
        <v>3685</v>
      </c>
      <c r="AN208" s="89">
        <f t="shared" si="183"/>
        <v>58.320000000000007</v>
      </c>
      <c r="AO208" s="488">
        <f t="shared" si="184"/>
        <v>24.228395061728392</v>
      </c>
      <c r="AP208" s="72">
        <v>2020</v>
      </c>
      <c r="AQ208" s="72">
        <f t="shared" si="181"/>
        <v>159542.41875000001</v>
      </c>
      <c r="AR208" s="76">
        <f t="shared" si="185"/>
        <v>1146.5906250000116</v>
      </c>
      <c r="AS208" s="230">
        <f t="shared" si="186"/>
        <v>47.774609375000487</v>
      </c>
      <c r="AT208" s="72">
        <f t="shared" si="191"/>
        <v>694.64002925354578</v>
      </c>
      <c r="AU208" s="66"/>
      <c r="AV208" s="143">
        <f t="shared" si="192"/>
        <v>539.69888855183342</v>
      </c>
      <c r="AW208" s="511">
        <f t="shared" si="157"/>
        <v>0.81145833333334161</v>
      </c>
      <c r="AX208" s="66"/>
      <c r="AY208" s="66"/>
      <c r="AZ208" s="66"/>
      <c r="BA208" s="66"/>
      <c r="BB208" s="66"/>
      <c r="BC208" s="63"/>
      <c r="BD208" s="64"/>
      <c r="BE208" s="147"/>
      <c r="BF208" s="86"/>
      <c r="BG208" s="65"/>
      <c r="BH208" s="66"/>
      <c r="BI208" s="66"/>
      <c r="BJ208" s="66"/>
      <c r="BK208" s="66"/>
      <c r="BL208" s="86"/>
      <c r="BM208" s="86"/>
      <c r="BN208" s="63"/>
      <c r="BO208" s="87"/>
      <c r="BP208" s="87"/>
      <c r="BQ208" s="87"/>
      <c r="BR208" s="66"/>
      <c r="BS208" s="64"/>
      <c r="BT208" s="66"/>
      <c r="BU208" s="67"/>
      <c r="BV208" s="65"/>
      <c r="BW208" s="66">
        <v>51</v>
      </c>
      <c r="BX208" s="72">
        <v>2110</v>
      </c>
      <c r="BY208" s="435">
        <f t="shared" si="187"/>
        <v>4</v>
      </c>
      <c r="BZ208" s="435">
        <f t="shared" si="188"/>
        <v>186.5</v>
      </c>
      <c r="CA208" s="72">
        <v>1127</v>
      </c>
      <c r="CB208" s="72">
        <f t="shared" si="182"/>
        <v>88451.346875000003</v>
      </c>
      <c r="CC208" s="289">
        <f t="shared" si="189"/>
        <v>490.625</v>
      </c>
      <c r="CD208" s="289">
        <f t="shared" si="190"/>
        <v>20.442708333333332</v>
      </c>
      <c r="CE208" s="72">
        <f t="shared" si="193"/>
        <v>642.02929533061354</v>
      </c>
      <c r="CF208" s="66"/>
      <c r="CG208" s="72">
        <f>CC208/(AVERAGE(BY207:BY209)*AVERAGE((D$197,D$190,D$206,D$178,D$183,D$185,D$192,D$199,D$204))*0.01)</f>
        <v>404.04671605061111</v>
      </c>
      <c r="CH208" s="433">
        <f t="shared" si="143"/>
        <v>0.6576742627345844</v>
      </c>
      <c r="CI208" s="66"/>
      <c r="CJ208" s="66"/>
      <c r="CK208" s="66"/>
      <c r="CL208" s="66"/>
      <c r="CM208" s="66"/>
      <c r="CN208" s="110" t="s">
        <v>147</v>
      </c>
    </row>
    <row r="209" spans="1:92" s="69" customFormat="1" ht="15">
      <c r="A209" s="141">
        <f t="shared" si="146"/>
        <v>41364</v>
      </c>
      <c r="B209" s="307">
        <f>B208</f>
        <v>0.33333333333333331</v>
      </c>
      <c r="C209" s="304">
        <f t="shared" si="174"/>
        <v>24</v>
      </c>
      <c r="D209" s="65"/>
      <c r="E209" s="66"/>
      <c r="F209" s="66"/>
      <c r="G209" s="66"/>
      <c r="H209" s="66"/>
      <c r="I209" s="66"/>
      <c r="J209" s="86"/>
      <c r="K209" s="86"/>
      <c r="L209" s="63"/>
      <c r="M209" s="86">
        <v>65</v>
      </c>
      <c r="N209" s="66">
        <v>85</v>
      </c>
      <c r="O209" s="265"/>
      <c r="P209" s="209">
        <f>(N209-M209)*P$1</f>
        <v>190</v>
      </c>
      <c r="Q209" s="212">
        <f>(((M209*N$4)*Q207)+((N209-M209)*N$4*2))/(N209*N$4)</f>
        <v>1.8709233987973253</v>
      </c>
      <c r="R209" s="226">
        <f>10*Q209/(AVERAGE(D204,D199)*(100-R207)/100)</f>
        <v>5.4520032400512699</v>
      </c>
      <c r="S209" s="86"/>
      <c r="T209" s="86"/>
      <c r="U209" s="86"/>
      <c r="V209" s="65"/>
      <c r="W209" s="66"/>
      <c r="X209" s="66"/>
      <c r="Y209" s="66"/>
      <c r="Z209" s="66"/>
      <c r="AA209" s="86"/>
      <c r="AB209" s="86"/>
      <c r="AC209" s="63"/>
      <c r="AD209" s="87"/>
      <c r="AE209" s="87"/>
      <c r="AF209" s="87"/>
      <c r="AG209" s="66"/>
      <c r="AH209" s="66"/>
      <c r="AI209" s="64"/>
      <c r="AJ209" s="63"/>
      <c r="AK209" s="65"/>
      <c r="AL209" s="66">
        <v>35.6</v>
      </c>
      <c r="AM209" s="301">
        <v>3712</v>
      </c>
      <c r="AN209" s="89">
        <f t="shared" si="183"/>
        <v>58.320000000000007</v>
      </c>
      <c r="AO209" s="488">
        <f t="shared" si="184"/>
        <v>24.228395061728392</v>
      </c>
      <c r="AP209" s="72">
        <v>2037</v>
      </c>
      <c r="AQ209" s="72">
        <f t="shared" si="181"/>
        <v>160568.31562500002</v>
      </c>
      <c r="AR209" s="76">
        <f t="shared" si="185"/>
        <v>1025.8968750000058</v>
      </c>
      <c r="AS209" s="230">
        <f t="shared" si="186"/>
        <v>42.74570312500024</v>
      </c>
      <c r="AT209" s="72">
        <f t="shared" si="191"/>
        <v>621.52002617422238</v>
      </c>
      <c r="AU209" s="66"/>
      <c r="AV209" s="143">
        <f t="shared" si="192"/>
        <v>482.88847923058563</v>
      </c>
      <c r="AW209" s="511">
        <f t="shared" si="157"/>
        <v>0.7260416666666708</v>
      </c>
      <c r="AX209" s="66"/>
      <c r="AY209" s="66"/>
      <c r="AZ209" s="66"/>
      <c r="BA209" s="66"/>
      <c r="BB209" s="66"/>
      <c r="BC209" s="63"/>
      <c r="BD209" s="64"/>
      <c r="BE209" s="147"/>
      <c r="BF209" s="86"/>
      <c r="BG209" s="65"/>
      <c r="BH209" s="66"/>
      <c r="BI209" s="66"/>
      <c r="BJ209" s="66"/>
      <c r="BK209" s="66"/>
      <c r="BL209" s="86"/>
      <c r="BM209" s="86"/>
      <c r="BN209" s="63"/>
      <c r="BO209" s="87"/>
      <c r="BP209" s="87"/>
      <c r="BQ209" s="87"/>
      <c r="BR209" s="66"/>
      <c r="BS209" s="64"/>
      <c r="BT209" s="66"/>
      <c r="BU209" s="67"/>
      <c r="BV209" s="65"/>
      <c r="BW209" s="66">
        <v>51</v>
      </c>
      <c r="BX209" s="72">
        <v>2133</v>
      </c>
      <c r="BY209" s="435">
        <f t="shared" si="187"/>
        <v>46</v>
      </c>
      <c r="BZ209" s="435">
        <f t="shared" si="188"/>
        <v>16.217391304347824</v>
      </c>
      <c r="CA209" s="72">
        <v>1134</v>
      </c>
      <c r="CB209" s="72">
        <f t="shared" si="182"/>
        <v>88880.643750000003</v>
      </c>
      <c r="CC209" s="289">
        <f t="shared" si="189"/>
        <v>429.296875</v>
      </c>
      <c r="CD209" s="289">
        <f t="shared" si="190"/>
        <v>17.887369791666668</v>
      </c>
      <c r="CE209" s="72">
        <f t="shared" si="193"/>
        <v>606.7176840874298</v>
      </c>
      <c r="CF209" s="66"/>
      <c r="CG209" s="72">
        <f>CC209/(AVERAGE(BY208:BY210)*AVERAGE((D$197,D$190,D$206,D$178,D$183,D$185,D$192,D$199,D$204))*0.01)</f>
        <v>631.32299382907991</v>
      </c>
      <c r="CH209" s="433">
        <f>CC209/CB$3</f>
        <v>0.57546497989276135</v>
      </c>
      <c r="CI209" s="66"/>
      <c r="CJ209" s="66"/>
      <c r="CK209" s="66"/>
      <c r="CL209" s="66"/>
      <c r="CM209" s="66"/>
      <c r="CN209" s="110"/>
    </row>
    <row r="210" spans="1:92" ht="15">
      <c r="A210" s="141">
        <f t="shared" si="146"/>
        <v>41365</v>
      </c>
      <c r="B210" s="307">
        <f>B209</f>
        <v>0.33333333333333331</v>
      </c>
      <c r="C210" s="304">
        <f t="shared" si="174"/>
        <v>24</v>
      </c>
      <c r="D210" s="65"/>
      <c r="E210" s="66"/>
      <c r="F210" s="66"/>
      <c r="G210" s="66"/>
      <c r="H210" s="66"/>
      <c r="I210" s="66"/>
      <c r="J210" s="86"/>
      <c r="K210" s="86"/>
      <c r="L210" s="63"/>
      <c r="M210" s="86"/>
      <c r="N210" s="66"/>
      <c r="O210" s="265"/>
      <c r="P210" s="209"/>
      <c r="Q210" s="212"/>
      <c r="R210" s="226"/>
      <c r="S210" s="86"/>
      <c r="T210" s="86"/>
      <c r="U210" s="86"/>
      <c r="V210" s="65"/>
      <c r="W210" s="66"/>
      <c r="X210" s="66"/>
      <c r="Y210" s="66"/>
      <c r="Z210" s="66"/>
      <c r="AA210" s="86"/>
      <c r="AB210" s="86"/>
      <c r="AC210" s="63"/>
      <c r="AD210" s="87"/>
      <c r="AE210" s="87"/>
      <c r="AF210" s="87"/>
      <c r="AG210" s="66"/>
      <c r="AH210" s="66"/>
      <c r="AI210" s="64"/>
      <c r="AJ210" s="63"/>
      <c r="AK210" s="65"/>
      <c r="AL210" s="66">
        <v>35.6</v>
      </c>
      <c r="AM210" s="301">
        <v>3741</v>
      </c>
      <c r="AN210" s="89">
        <f t="shared" si="183"/>
        <v>62.64</v>
      </c>
      <c r="AO210" s="488">
        <f t="shared" si="184"/>
        <v>22.557471264367816</v>
      </c>
      <c r="AP210" s="72">
        <v>2055</v>
      </c>
      <c r="AQ210" s="72">
        <f t="shared" si="181"/>
        <v>161654.55937500001</v>
      </c>
      <c r="AR210" s="76">
        <f t="shared" si="185"/>
        <v>1086.2437499999942</v>
      </c>
      <c r="AS210" s="230">
        <f t="shared" si="186"/>
        <v>45.26015624999976</v>
      </c>
      <c r="AT210" s="72">
        <f t="shared" si="191"/>
        <v>612.69519821636675</v>
      </c>
      <c r="AU210" s="66"/>
      <c r="AV210" s="143">
        <f t="shared" si="192"/>
        <v>476.03205051939568</v>
      </c>
      <c r="AW210" s="511">
        <f t="shared" si="157"/>
        <v>0.76874999999999583</v>
      </c>
      <c r="AX210" s="66"/>
      <c r="AY210" s="66"/>
      <c r="AZ210" s="66"/>
      <c r="BA210" s="66"/>
      <c r="BB210" s="66"/>
      <c r="BC210" s="110" t="s">
        <v>146</v>
      </c>
      <c r="BD210" s="64"/>
      <c r="BE210" s="147"/>
      <c r="BF210" s="86"/>
      <c r="BG210" s="65"/>
      <c r="BH210" s="66"/>
      <c r="BI210" s="66"/>
      <c r="BJ210" s="66"/>
      <c r="BK210" s="66"/>
      <c r="BL210" s="86"/>
      <c r="BM210" s="86"/>
      <c r="BN210" s="63"/>
      <c r="BO210" s="87"/>
      <c r="BP210" s="87"/>
      <c r="BQ210" s="87"/>
      <c r="BR210" s="66"/>
      <c r="BS210" s="64"/>
      <c r="BT210" s="66"/>
      <c r="BU210" s="67"/>
      <c r="BV210" s="65"/>
      <c r="BW210" s="66">
        <v>51</v>
      </c>
      <c r="BX210" s="72">
        <v>2136</v>
      </c>
      <c r="BY210" s="435">
        <f t="shared" si="187"/>
        <v>6</v>
      </c>
      <c r="BZ210" s="435">
        <f t="shared" si="188"/>
        <v>124.33333333333333</v>
      </c>
      <c r="CA210" s="72">
        <v>1144</v>
      </c>
      <c r="CB210" s="72">
        <f t="shared" si="182"/>
        <v>89493.925000000003</v>
      </c>
      <c r="CC210" s="289">
        <f t="shared" si="189"/>
        <v>613.28125</v>
      </c>
      <c r="CD210" s="289">
        <f t="shared" si="190"/>
        <v>25.553385416666668</v>
      </c>
      <c r="CE210" s="72">
        <f t="shared" si="193"/>
        <v>833.40341220800792</v>
      </c>
      <c r="CF210" s="66"/>
      <c r="CG210" s="72">
        <f>CC210/(AVERAGE(BY209:BY211)*AVERAGE((D$197,D$190,D$206,D$178,D$183,D$185,D$192,D$199,D$204))*0.01)</f>
        <v>572.45712015297249</v>
      </c>
      <c r="CH210" s="433">
        <f>CC210/CB$3</f>
        <v>0.82209282841823061</v>
      </c>
      <c r="CI210" s="66"/>
      <c r="CJ210" s="66"/>
      <c r="CK210" s="66"/>
      <c r="CL210" s="66"/>
      <c r="CM210" s="66"/>
      <c r="CN210" s="110" t="s">
        <v>146</v>
      </c>
    </row>
    <row r="211" spans="1:92" ht="15">
      <c r="A211" s="141">
        <f t="shared" ref="A211:A274" si="194">A210+1</f>
        <v>41366</v>
      </c>
      <c r="B211" s="307">
        <v>0.4375</v>
      </c>
      <c r="C211" s="304">
        <f t="shared" si="174"/>
        <v>26.5</v>
      </c>
      <c r="D211" s="65"/>
      <c r="E211" s="66"/>
      <c r="F211" s="66"/>
      <c r="G211" s="66"/>
      <c r="H211" s="66"/>
      <c r="I211" s="66"/>
      <c r="J211" s="86"/>
      <c r="K211" s="86"/>
      <c r="L211" s="63"/>
      <c r="M211" s="86">
        <v>50</v>
      </c>
      <c r="N211" s="66">
        <v>80</v>
      </c>
      <c r="O211" s="265"/>
      <c r="P211" s="209">
        <f>(N211-M211)*P$1</f>
        <v>285</v>
      </c>
      <c r="Q211" s="212">
        <f>(((M211*N$4)*Q209)+((N211-M211)*N$4*2))/(N211*N$4)</f>
        <v>1.9193271242483281</v>
      </c>
      <c r="R211" s="226">
        <f>10*Q211/(AVERAGE(D204,D199)*(100-R209)/100)</f>
        <v>5.6154991726273682</v>
      </c>
      <c r="S211" s="86"/>
      <c r="T211" s="86"/>
      <c r="U211" s="86"/>
      <c r="V211" s="65"/>
      <c r="W211" s="66"/>
      <c r="X211" s="66"/>
      <c r="Y211" s="66"/>
      <c r="Z211" s="66"/>
      <c r="AA211" s="86"/>
      <c r="AB211" s="86"/>
      <c r="AC211" s="63"/>
      <c r="AD211" s="87"/>
      <c r="AE211" s="87"/>
      <c r="AF211" s="87"/>
      <c r="AG211" s="66"/>
      <c r="AH211" s="66"/>
      <c r="AI211" s="64"/>
      <c r="AJ211" s="63"/>
      <c r="AK211" s="65"/>
      <c r="AL211" s="66">
        <v>35.6</v>
      </c>
      <c r="AM211" s="301">
        <v>3774</v>
      </c>
      <c r="AN211" s="89">
        <f t="shared" si="183"/>
        <v>64.555471698113209</v>
      </c>
      <c r="AO211" s="488">
        <f t="shared" si="184"/>
        <v>21.888152356902356</v>
      </c>
      <c r="AP211" s="72">
        <v>2074</v>
      </c>
      <c r="AQ211" s="72">
        <f t="shared" si="181"/>
        <v>162801.15000000002</v>
      </c>
      <c r="AR211" s="76">
        <f t="shared" si="185"/>
        <v>1038.4216981132181</v>
      </c>
      <c r="AS211" s="230">
        <f t="shared" si="186"/>
        <v>43.267570754717418</v>
      </c>
      <c r="AT211" s="72">
        <f t="shared" si="191"/>
        <v>568.34184211653758</v>
      </c>
      <c r="AU211" s="66"/>
      <c r="AV211" s="143">
        <f t="shared" si="192"/>
        <v>441.57181790604562</v>
      </c>
      <c r="AW211" s="511">
        <f t="shared" si="157"/>
        <v>0.73490566037736593</v>
      </c>
      <c r="AX211" s="66"/>
      <c r="AY211" s="66"/>
      <c r="AZ211" s="66"/>
      <c r="BA211" s="66"/>
      <c r="BB211" s="66"/>
      <c r="BC211" s="63"/>
      <c r="BD211" s="64"/>
      <c r="BE211" s="147"/>
      <c r="BF211" s="86"/>
      <c r="BG211" s="65"/>
      <c r="BH211" s="66"/>
      <c r="BI211" s="66"/>
      <c r="BJ211" s="66"/>
      <c r="BK211" s="66"/>
      <c r="BL211" s="86"/>
      <c r="BM211" s="86"/>
      <c r="BN211" s="63"/>
      <c r="BO211" s="87"/>
      <c r="BP211" s="87"/>
      <c r="BQ211" s="87"/>
      <c r="BR211" s="66"/>
      <c r="BS211" s="64"/>
      <c r="BT211" s="66"/>
      <c r="BU211" s="67"/>
      <c r="BV211" s="65"/>
      <c r="BW211" s="66">
        <v>51</v>
      </c>
      <c r="BX211" s="72">
        <v>2156</v>
      </c>
      <c r="BY211" s="443">
        <f t="shared" si="187"/>
        <v>36.226415094339622</v>
      </c>
      <c r="BZ211" s="443">
        <f t="shared" si="188"/>
        <v>20.592708333333334</v>
      </c>
      <c r="CA211" s="72">
        <v>1151</v>
      </c>
      <c r="CB211" s="72">
        <f t="shared" si="182"/>
        <v>89923.221875000003</v>
      </c>
      <c r="CC211" s="289">
        <f t="shared" si="189"/>
        <v>388.79716981132071</v>
      </c>
      <c r="CD211" s="289">
        <f t="shared" si="190"/>
        <v>16.199882075471699</v>
      </c>
      <c r="CE211" s="72">
        <f t="shared" si="193"/>
        <v>650.63558615273973</v>
      </c>
      <c r="CF211" s="66"/>
      <c r="CG211" s="72">
        <f>CC211/(AVERAGE(BY210:BY212)*AVERAGE((D$197,D$190,D$206,D$178,D$183,D$185,D$192,D$199,D$204))*0.01)</f>
        <v>447.96309837327703</v>
      </c>
      <c r="CH211" s="433">
        <f>CC211/CB$3</f>
        <v>0.52117583084627439</v>
      </c>
      <c r="CI211" s="66"/>
      <c r="CJ211" s="66"/>
      <c r="CK211" s="66"/>
      <c r="CL211" s="66"/>
      <c r="CM211" s="66"/>
      <c r="CN211" s="110"/>
    </row>
    <row r="212" spans="1:92" s="337" customFormat="1" ht="15">
      <c r="A212" s="309">
        <f t="shared" si="194"/>
        <v>41367</v>
      </c>
      <c r="B212" s="310">
        <v>0.3263888888888889</v>
      </c>
      <c r="C212" s="304">
        <f t="shared" si="174"/>
        <v>21.333333333333332</v>
      </c>
      <c r="D212" s="768">
        <v>3.43</v>
      </c>
      <c r="E212" s="769">
        <v>80.62</v>
      </c>
      <c r="F212" s="319"/>
      <c r="G212" s="365">
        <v>5.93</v>
      </c>
      <c r="H212" s="319"/>
      <c r="I212" s="319"/>
      <c r="J212" s="317"/>
      <c r="K212" s="317"/>
      <c r="L212" s="320"/>
      <c r="M212" s="317"/>
      <c r="N212" s="319"/>
      <c r="O212" s="472"/>
      <c r="P212" s="509"/>
      <c r="Q212" s="540"/>
      <c r="R212" s="655"/>
      <c r="S212" s="317"/>
      <c r="T212" s="317"/>
      <c r="U212" s="317"/>
      <c r="V212" s="339">
        <v>2.41</v>
      </c>
      <c r="W212" s="365">
        <v>65.88</v>
      </c>
      <c r="X212" s="319"/>
      <c r="Y212" s="319"/>
      <c r="Z212" s="319"/>
      <c r="AA212" s="317"/>
      <c r="AB212" s="317"/>
      <c r="AC212" s="320"/>
      <c r="AD212" s="391">
        <f>D206*(100-E206)/(100-W212)</f>
        <v>2.5483587338804217</v>
      </c>
      <c r="AE212" s="720">
        <f>D206-V212</f>
        <v>1.29</v>
      </c>
      <c r="AF212" s="393">
        <f>100*(AVERAGE(D$199,(0.95*D$206),D$177,D$204,D$197,D$192,D$185,D$178,D$183,D$190)-V212)/AVERAGE(D$199,(D$206*0.95),D$177,D$204,D$197,D$192,D$185,D$178,D$183,D$190)</f>
        <v>33.792124501566704</v>
      </c>
      <c r="AG212" s="393">
        <f>100*(1-((100-AVERAGE(E$197,E$206,E$177,E$204,E$199,E$190,E$192,E$178,E$183,E$185))/(100-W212)))</f>
        <v>34.863077524273343</v>
      </c>
      <c r="AH212" s="387">
        <f>E206-W212</f>
        <v>10.620000000000005</v>
      </c>
      <c r="AI212" s="393">
        <f>100*(1-((V212*W212)/(AVERAGE(D$199,(0.95*D$206),D$177,D$204,D$197,D$192,D$185,D$178,D$183,D$190)*AVERAGE(E$197,E$206,E$177,E$204,E$199,E$190,E$192,E$178,E$183,E$185))))</f>
        <v>43.918238252600652</v>
      </c>
      <c r="AJ212" s="389">
        <f>100*100*((AVERAGE(E$197,E$206,E$177,E$204,E$199,E$190,E$192,E$178,E$183,E$185)-W212)/((100-W212)*AVERAGE(E$197,E$206,E$177,E$204,E$199,E$190,E$192,E$178,E$183,E$185)))</f>
        <v>44.825395170262397</v>
      </c>
      <c r="AK212" s="318">
        <v>7.12</v>
      </c>
      <c r="AL212" s="470">
        <v>34.1</v>
      </c>
      <c r="AM212" s="301">
        <v>3797</v>
      </c>
      <c r="AN212" s="89">
        <f t="shared" si="183"/>
        <v>55.890000000000008</v>
      </c>
      <c r="AO212" s="488">
        <f t="shared" si="184"/>
        <v>25.281803542673103</v>
      </c>
      <c r="AP212" s="72">
        <v>2089</v>
      </c>
      <c r="AQ212" s="72">
        <f t="shared" si="181"/>
        <v>163706.35312500002</v>
      </c>
      <c r="AR212" s="76">
        <f t="shared" si="185"/>
        <v>1018.353515625</v>
      </c>
      <c r="AS212" s="230">
        <f t="shared" si="186"/>
        <v>42.431396484375</v>
      </c>
      <c r="AT212" s="72">
        <f t="shared" si="191"/>
        <v>643.77394015488142</v>
      </c>
      <c r="AU212" s="313">
        <f>(AQ212-AQ183)/(AVERAGE(AN183:AN212)*((AVERAGE(D183,D197,D185,D190,D204,D199,D192,D207)*AVERAGE(E183,E197,E185,E190,E204,E199,E192,E207))-(V212*W212))*0.0001*(SUM(C183:C212)/24))</f>
        <v>1373.5365197197445</v>
      </c>
      <c r="AV212" s="143">
        <f t="shared" si="192"/>
        <v>500.17860380661392</v>
      </c>
      <c r="AW212" s="511">
        <f t="shared" si="157"/>
        <v>0.720703125</v>
      </c>
      <c r="AX212" s="319">
        <v>70.099999999999994</v>
      </c>
      <c r="AY212" s="319">
        <v>29.8</v>
      </c>
      <c r="AZ212" s="319">
        <v>0</v>
      </c>
      <c r="BA212" s="319">
        <v>75</v>
      </c>
      <c r="BB212" s="319">
        <v>115</v>
      </c>
      <c r="BC212" s="320"/>
      <c r="BD212" s="368"/>
      <c r="BE212" s="330"/>
      <c r="BF212" s="689"/>
      <c r="BG212" s="339">
        <v>2.41</v>
      </c>
      <c r="BH212" s="365">
        <v>64.38</v>
      </c>
      <c r="BI212" s="319"/>
      <c r="BJ212" s="319"/>
      <c r="BK212" s="319"/>
      <c r="BL212" s="317"/>
      <c r="BM212" s="317"/>
      <c r="BN212" s="320"/>
      <c r="BO212" s="376">
        <f>D206*(100-E206)/(100-BH212)</f>
        <v>2.4410443571027511</v>
      </c>
      <c r="BP212" s="372">
        <f>D206-BG212</f>
        <v>1.29</v>
      </c>
      <c r="BQ212" s="374">
        <f>100*(AVERAGE(D$199,(0.95*D$206),D$177,D$204,D$197,D$192,D$190,D$178,D$183,D$185)-BG212)/AVERAGE(D$199,(0.95*D$206),D$177,D$204,D$197,D$192,D$190,D$178,D$183,D$185)</f>
        <v>33.792124501566704</v>
      </c>
      <c r="BR212" s="367">
        <f>100*(1-((100-AVERAGE(E$199,E$206,E$177,E$204,E$197,E$192,E$190,E$178,E$183,E$185))/(100-BH212)))</f>
        <v>37.60606976777671</v>
      </c>
      <c r="BS212" s="375">
        <f>E206-BH212</f>
        <v>12.120000000000005</v>
      </c>
      <c r="BT212" s="312">
        <f>100*(1-((BG212*BH212)/(AVERAGE(D$199,(0.95*D$206),D$177,D$204,D$197,D$192,D$190,D$178,D$183,D$185)*AVERAGE(E$199,E$206,E$177,E$204,E$197,E$192,E$190,E$178,E$183,E$185))))</f>
        <v>45.195145396211757</v>
      </c>
      <c r="BU212" s="412">
        <f>100*100*((AVERAGE(E$199,E$206,E$177,E$204,E$197,E$192,E$190,E$178,E$183,E$185)-BH212)/((100-BH212)*AVERAGE(E$199,E$206,E$177,E$204,E$197,E$192,E$190,E$178,E$183,E$185)))</f>
        <v>48.35221265154744</v>
      </c>
      <c r="BV212" s="318">
        <v>7.34</v>
      </c>
      <c r="BW212" s="365">
        <v>47.4</v>
      </c>
      <c r="BX212" s="72">
        <v>2169</v>
      </c>
      <c r="BY212" s="443">
        <f t="shared" si="187"/>
        <v>29.25</v>
      </c>
      <c r="BZ212" s="443">
        <f t="shared" si="188"/>
        <v>25.504273504273506</v>
      </c>
      <c r="CA212" s="72">
        <v>1160</v>
      </c>
      <c r="CB212" s="72">
        <f t="shared" si="182"/>
        <v>90475.175000000003</v>
      </c>
      <c r="CC212" s="289">
        <f t="shared" si="189"/>
        <v>620.947265625</v>
      </c>
      <c r="CD212" s="289">
        <f t="shared" si="190"/>
        <v>25.872802734375</v>
      </c>
      <c r="CE212" s="313">
        <f t="shared" si="193"/>
        <v>670.14496119756097</v>
      </c>
      <c r="CF212" s="313">
        <f>(CB212-CB183)/(AVERAGE(BY183:BY212)*((AVERAGE(D197,D185,D192,D199,D204,D206,D190,D183)*AVERAGE(E197,E185,E204,E192,E199,E206,E190,E183))-(BG212*BH212))*0.0001*(SUM(C183:C212)/24))</f>
        <v>1396.3200563443058</v>
      </c>
      <c r="CG212" s="72">
        <f>CC212/(AVERAGE(BY212)*AVERAGE((D$197,D$190,D$206,D$178,D$183,D$185,D$192,D$199,D$204))*0.01)</f>
        <v>582.75968661145839</v>
      </c>
      <c r="CH212" s="433">
        <f>CC212/CB$3</f>
        <v>0.83236898877345844</v>
      </c>
      <c r="CI212" s="319">
        <v>68</v>
      </c>
      <c r="CJ212" s="319">
        <v>30</v>
      </c>
      <c r="CK212" s="319">
        <v>0</v>
      </c>
      <c r="CL212" s="319">
        <v>126</v>
      </c>
      <c r="CM212" s="319">
        <v>300</v>
      </c>
      <c r="CN212" s="442"/>
    </row>
    <row r="213" spans="1:92" s="337" customFormat="1" ht="15">
      <c r="A213" s="309">
        <f t="shared" si="194"/>
        <v>41368</v>
      </c>
      <c r="B213" s="310">
        <v>0.33333333333333331</v>
      </c>
      <c r="C213" s="304">
        <f t="shared" si="174"/>
        <v>24.166666666666664</v>
      </c>
      <c r="D213" s="318">
        <v>4.9000000000000004</v>
      </c>
      <c r="E213" s="319">
        <v>78</v>
      </c>
      <c r="F213" s="313">
        <v>55000</v>
      </c>
      <c r="G213" s="319"/>
      <c r="H213" s="319"/>
      <c r="I213" s="319">
        <v>741</v>
      </c>
      <c r="J213" s="317"/>
      <c r="K213" s="317"/>
      <c r="L213" s="320"/>
      <c r="M213" s="471">
        <v>50</v>
      </c>
      <c r="N213" s="452">
        <v>80</v>
      </c>
      <c r="O213" s="472"/>
      <c r="P213" s="723">
        <f>(N213-M213)*P$1</f>
        <v>285</v>
      </c>
      <c r="Q213" s="212">
        <f>P213/((N213-M213)*N$4)</f>
        <v>1.890923566878981</v>
      </c>
      <c r="R213" s="226">
        <f>10*Q213/(AVERAGE(D206,D204))</f>
        <v>5.3041334274305214</v>
      </c>
      <c r="S213" s="317"/>
      <c r="T213" s="317"/>
      <c r="U213" s="317"/>
      <c r="V213" s="318">
        <v>2.5</v>
      </c>
      <c r="W213" s="319">
        <v>67</v>
      </c>
      <c r="X213" s="348">
        <v>28000</v>
      </c>
      <c r="Y213" s="319"/>
      <c r="Z213" s="348">
        <v>1180</v>
      </c>
      <c r="AA213" s="317"/>
      <c r="AB213" s="317"/>
      <c r="AC213" s="320"/>
      <c r="AD213" s="391">
        <f>D206*(100-E206)/(100-W213)</f>
        <v>2.6348484848484848</v>
      </c>
      <c r="AE213" s="742">
        <f>D206-V213</f>
        <v>1.2000000000000002</v>
      </c>
      <c r="AF213" s="393">
        <f>100*(AVERAGE(D$199,D$206,D$212,D$204,D$197,D$192,D$185,D$178,D$183,D$190)-V213)/AVERAGE(D$199,D$206,D$212,D$204,D$197,D$192,D$185,D$178,D$183,D$190)</f>
        <v>30.968790645954041</v>
      </c>
      <c r="AG213" s="393">
        <f>100*(1-((100-AVERAGE(E$197,E$206,E$212,E$204,E$199,E$190,E$192,E$178,E$183,E$185))/(100-W213)))</f>
        <v>33.294794094794092</v>
      </c>
      <c r="AH213" s="387">
        <f>E206-W213</f>
        <v>9.5</v>
      </c>
      <c r="AI213" s="393">
        <f>100*(1-((V213*W213)/(AVERAGE(D$199,D$206,D$212,D$204,D$197,D$192,D$185,D$178,D$183,D$190)*AVERAGE(E$197,E$206,E$212,E$204,E$199,E$190,E$192,E$178,E$183,E$185))))</f>
        <v>40.694291363048649</v>
      </c>
      <c r="AJ213" s="389">
        <f>100*100*((AVERAGE(E$197,E$206,E$212,E$204,E$199,E$190,E$192,E$178,E$183,E$185)-W213)/((100-W213)*AVERAGE(E$197,E$206,E$212,E$204,E$199,E$190,E$192,E$178,E$183,E$185)))</f>
        <v>42.692594509064257</v>
      </c>
      <c r="AK213" s="318"/>
      <c r="AL213" s="319">
        <v>35.6</v>
      </c>
      <c r="AM213" s="301">
        <v>3825</v>
      </c>
      <c r="AN213" s="89">
        <f>(AM213-AM212)*AQ$1/((C213)/24)</f>
        <v>60.062896551724144</v>
      </c>
      <c r="AO213" s="488">
        <f>AQ$3/AN213</f>
        <v>23.525338955026452</v>
      </c>
      <c r="AP213" s="313">
        <v>2108</v>
      </c>
      <c r="AQ213" s="348">
        <f t="shared" si="181"/>
        <v>164852.94375000003</v>
      </c>
      <c r="AR213" s="76">
        <f t="shared" ref="AR213:AR223" si="195">(AQ213-AQ212)/(C213/24)</f>
        <v>1138.6831034482875</v>
      </c>
      <c r="AS213" s="230">
        <f t="shared" ref="AS213:AS223" si="196">(AQ213-AQ212)/C213</f>
        <v>47.445129310345315</v>
      </c>
      <c r="AT213" s="72">
        <f>AR213/(AVERAGE(AN213)*(AVERAGE(D$197,D$190,D$206,D$212,D$183,D$185,D$192,D$199,D$204))*AVERAGE(E$197,E$190,E$206,E$212,E$183,E$185,E$192,E$199,E$204)*0.0001)</f>
        <v>681.67590656201628</v>
      </c>
      <c r="AU213" s="313">
        <f>(AQ213-AQ184)/(AVERAGE(AN184:AN213)*((AVERAGE(D185,D199,D190,D192,D206,D204,D197,D212)*AVERAGE(E185,E199,E190,E192,E206,E204,E197,E212))-(V213*W213))*0.0001*(SUM(C184:C213)/24))</f>
        <v>1480.9640266648701</v>
      </c>
      <c r="AV213" s="143">
        <f>AR213/(AVERAGE(AN213)*AVERAGE(D$197,D$190,D$206,D$212,D$183,D$185,D$192,D$199,D$204)*0.01)</f>
        <v>530.78529386240416</v>
      </c>
      <c r="AW213" s="511">
        <f t="shared" si="157"/>
        <v>0.80586206896552548</v>
      </c>
      <c r="AX213" s="319"/>
      <c r="AY213" s="319"/>
      <c r="AZ213" s="319"/>
      <c r="BA213" s="319"/>
      <c r="BB213" s="319"/>
      <c r="BC213" s="320"/>
      <c r="BD213" s="368"/>
      <c r="BE213" s="330"/>
      <c r="BF213" s="317"/>
      <c r="BG213" s="318">
        <v>2.4</v>
      </c>
      <c r="BH213" s="319">
        <v>65.3</v>
      </c>
      <c r="BI213" s="348">
        <v>24000</v>
      </c>
      <c r="BJ213" s="319"/>
      <c r="BK213" s="348">
        <v>2223</v>
      </c>
      <c r="BL213" s="317"/>
      <c r="BM213" s="317"/>
      <c r="BN213" s="320"/>
      <c r="BO213" s="376">
        <f>D206*(100-E206)/(100-BH213)</f>
        <v>2.5057636887608066</v>
      </c>
      <c r="BP213" s="372">
        <f>D206-BG213</f>
        <v>1.3000000000000003</v>
      </c>
      <c r="BQ213" s="374">
        <f>100*(AVERAGE(D$199,(0.95*D$206),D$212,D$204,D$197,D$192,D$190,D$178,D$183,D$185)-BG213)/AVERAGE(D$199,(0.95*D$206),D$212,D$204,D$197,D$192,D$190,D$178,D$183,D$185)</f>
        <v>33.389773367129642</v>
      </c>
      <c r="BR213" s="367">
        <f>100*(1-((100-AVERAGE(E$199,E$206,E$212,E$204,E$197,E$192,E$190,E$178,E$183,E$185))/(100-BH213)))</f>
        <v>36.562772482080838</v>
      </c>
      <c r="BS213" s="375">
        <f>E206-BH213</f>
        <v>11.200000000000003</v>
      </c>
      <c r="BT213" s="312">
        <f>100*(1-((BG213*BH213)/(AVERAGE(D$199,(0.95*D$206),D$212,D$204,D$197,D$192,D$190,D$178,D$183,D$185)*AVERAGE(E$199,E$206,E$212,E$204,E$197,E$192,E$190,E$178,E$183,E$185))))</f>
        <v>44.226190672137555</v>
      </c>
      <c r="BU213" s="412">
        <f>100*100*((AVERAGE(E$199,E$206,E$212,E$204,E$197,E$192,E$190,E$178,E$183,E$185)-BH213)/((100-BH213)*AVERAGE(E$199,E$206,E$212,E$204,E$197,E$192,E$190,E$178,E$183,E$185)))</f>
        <v>46.882993637396261</v>
      </c>
      <c r="BV213" s="318"/>
      <c r="BW213" s="319">
        <v>51</v>
      </c>
      <c r="BX213" s="72">
        <v>2185</v>
      </c>
      <c r="BY213" s="443">
        <f t="shared" ref="BY213:BY224" si="197">(BX213-BX212)*CB$1/((C213)/24)</f>
        <v>31.779310344827586</v>
      </c>
      <c r="BZ213" s="443">
        <f t="shared" ref="BZ213:BZ224" si="198">CB$3/BY213</f>
        <v>23.474392361111111</v>
      </c>
      <c r="CA213" s="313">
        <v>1170</v>
      </c>
      <c r="CB213" s="348">
        <f t="shared" si="182"/>
        <v>91088.456250000003</v>
      </c>
      <c r="CC213" s="289">
        <f t="shared" ref="CC213:CC224" si="199">(CB213-CB212)/((C213/24))</f>
        <v>609.05172413793105</v>
      </c>
      <c r="CD213" s="289">
        <f t="shared" ref="CD213:CD224" si="200">(CB213-CB212)/(C213)</f>
        <v>25.377155172413797</v>
      </c>
      <c r="CE213" s="313">
        <f>CC213/(AVERAGE(BY212,BY213)*(AVERAGE(D$197,D$190,D$206,D$178,D$212,D$185,D$192,D$199,D$204))*AVERAGE(E$197,E$190,E$206,E$178,E$212,E$185,E$192,E$199,E$204)*0.0001)</f>
        <v>705.51647963793289</v>
      </c>
      <c r="CF213" s="313">
        <f>(CB213-CB184)/(AVERAGE(BY184:BY213)*((AVERAGE(D199,D190,D197,D204,D206,D211,D192,D185)*AVERAGE(E199,E190,E206,E197,E204,E211,E192,E185))-(BG213*BH213))*0.0001*(SUM(C184:C213)/24))</f>
        <v>1417.1554521025066</v>
      </c>
      <c r="CG213" s="72">
        <f>CC213/(AVERAGE(BY213)*AVERAGE((D$197,D$190,D$206,D$178,D$212,D$185,D$192,D$199,D$204))*0.01)</f>
        <v>529.33155342212888</v>
      </c>
      <c r="CH213" s="433">
        <f t="shared" ref="CH213:CH275" si="201">CC213/CB$3</f>
        <v>0.81642322270500145</v>
      </c>
      <c r="CI213" s="319"/>
      <c r="CJ213" s="319"/>
      <c r="CK213" s="319"/>
      <c r="CL213" s="319"/>
      <c r="CM213" s="319"/>
      <c r="CN213" s="442"/>
    </row>
    <row r="214" spans="1:92" s="69" customFormat="1" ht="15">
      <c r="A214" s="141">
        <f t="shared" si="194"/>
        <v>41369</v>
      </c>
      <c r="B214" s="307">
        <f>B213</f>
        <v>0.33333333333333331</v>
      </c>
      <c r="C214" s="304">
        <f t="shared" si="174"/>
        <v>24</v>
      </c>
      <c r="D214" s="65"/>
      <c r="E214" s="66"/>
      <c r="F214" s="72"/>
      <c r="G214" s="66"/>
      <c r="H214" s="66"/>
      <c r="I214" s="66"/>
      <c r="J214" s="86"/>
      <c r="K214" s="86"/>
      <c r="L214" s="63"/>
      <c r="M214" s="86"/>
      <c r="N214" s="66"/>
      <c r="O214" s="265"/>
      <c r="P214" s="224"/>
      <c r="Q214" s="210"/>
      <c r="R214" s="225"/>
      <c r="S214" s="86"/>
      <c r="T214" s="86"/>
      <c r="U214" s="213"/>
      <c r="V214" s="65"/>
      <c r="W214" s="66"/>
      <c r="X214" s="76"/>
      <c r="Y214" s="66"/>
      <c r="Z214" s="66"/>
      <c r="AA214" s="86"/>
      <c r="AB214" s="86"/>
      <c r="AC214" s="63"/>
      <c r="AD214" s="93"/>
      <c r="AE214" s="83"/>
      <c r="AF214" s="88"/>
      <c r="AG214" s="85"/>
      <c r="AH214" s="75"/>
      <c r="AI214" s="83"/>
      <c r="AJ214" s="195"/>
      <c r="AK214" s="65"/>
      <c r="AL214" s="66">
        <v>35.6</v>
      </c>
      <c r="AM214" s="301">
        <v>3853</v>
      </c>
      <c r="AN214" s="89">
        <f t="shared" ref="AN214:AN223" si="202">(AM214-AM213)*AQ$1/((C214)/24)</f>
        <v>60.480000000000004</v>
      </c>
      <c r="AO214" s="488">
        <f t="shared" ref="AO214:AO223" si="203">AQ$3/AN214</f>
        <v>23.363095238095237</v>
      </c>
      <c r="AP214" s="72">
        <v>2124</v>
      </c>
      <c r="AQ214" s="76">
        <f t="shared" si="181"/>
        <v>165818.49375000002</v>
      </c>
      <c r="AR214" s="76">
        <f t="shared" si="195"/>
        <v>965.54999999998836</v>
      </c>
      <c r="AS214" s="230">
        <f t="shared" si="196"/>
        <v>40.231249999999513</v>
      </c>
      <c r="AT214" s="72">
        <f t="shared" ref="AT214:AT219" si="204">AR214/(AVERAGE(AN214)*(AVERAGE(D$197,D$190,D$206,D$212,D$213,D$185,D$192,D$199,D$204))*AVERAGE(E$197,E$190,E$206,E$212,E$213,E$185,E$192,E$199,E$204)*0.0001)</f>
        <v>551.15599597492758</v>
      </c>
      <c r="AU214" s="85"/>
      <c r="AV214" s="143">
        <f t="shared" ref="AV214:AV219" si="205">AR214/(AVERAGE(AN214)*AVERAGE(D$197,D$190,D$206,D$212,D$213,D$185,D$192,D$199,D$204)*0.01)</f>
        <v>429.98913950709812</v>
      </c>
      <c r="AW214" s="511">
        <f t="shared" si="157"/>
        <v>0.68333333333332513</v>
      </c>
      <c r="AX214" s="66"/>
      <c r="AY214" s="66"/>
      <c r="AZ214" s="66"/>
      <c r="BA214" s="66"/>
      <c r="BB214" s="66"/>
      <c r="BC214" s="63" t="s">
        <v>150</v>
      </c>
      <c r="BD214" s="64"/>
      <c r="BE214" s="147"/>
      <c r="BF214" s="213"/>
      <c r="BG214" s="65"/>
      <c r="BH214" s="66"/>
      <c r="BI214" s="76"/>
      <c r="BJ214" s="66"/>
      <c r="BK214" s="76"/>
      <c r="BL214" s="86"/>
      <c r="BM214" s="86"/>
      <c r="BN214" s="63"/>
      <c r="BO214" s="93"/>
      <c r="BP214" s="83"/>
      <c r="BQ214" s="88"/>
      <c r="BR214" s="85"/>
      <c r="BS214" s="194"/>
      <c r="BT214" s="75"/>
      <c r="BU214" s="179"/>
      <c r="BV214" s="65"/>
      <c r="BW214" s="66">
        <v>51</v>
      </c>
      <c r="BX214" s="72">
        <v>2202</v>
      </c>
      <c r="BY214" s="443">
        <f t="shared" si="197"/>
        <v>34</v>
      </c>
      <c r="BZ214" s="443">
        <f t="shared" si="198"/>
        <v>21.941176470588236</v>
      </c>
      <c r="CA214" s="72">
        <v>1180</v>
      </c>
      <c r="CB214" s="76">
        <f t="shared" si="182"/>
        <v>91701.737500000003</v>
      </c>
      <c r="CC214" s="289">
        <f t="shared" si="199"/>
        <v>613.28125</v>
      </c>
      <c r="CD214" s="289">
        <f t="shared" si="200"/>
        <v>25.553385416666668</v>
      </c>
      <c r="CE214" s="72">
        <f t="shared" ref="CE214:CE219" si="206">CC214/(AVERAGE(BY213,BY214)*(AVERAGE(D$197,D$190,D$206,D$178,D$212,D$213,D$192,D$199,D$204))*AVERAGE(E$197,E$190,E$206,E$178,E$212,E$213,E$192,E$199,E$204)*0.0001)</f>
        <v>643.15112603879015</v>
      </c>
      <c r="CF214" s="161"/>
      <c r="CG214" s="72">
        <f>CC214/(AVERAGE(BY214)*AVERAGE((D$197,D$190,D$206,D$178,D$212,D$213,D$192,D$199,D$204))*0.01)</f>
        <v>487.71728717367984</v>
      </c>
      <c r="CH214" s="433">
        <f t="shared" si="201"/>
        <v>0.82209282841823061</v>
      </c>
      <c r="CI214" s="66"/>
      <c r="CJ214" s="66"/>
      <c r="CK214" s="66"/>
      <c r="CL214" s="66"/>
      <c r="CM214" s="66"/>
      <c r="CN214" s="63" t="s">
        <v>150</v>
      </c>
    </row>
    <row r="215" spans="1:92" ht="15">
      <c r="A215" s="141">
        <f t="shared" si="194"/>
        <v>41370</v>
      </c>
      <c r="B215" s="307">
        <f t="shared" ref="B215:B225" si="207">B214</f>
        <v>0.33333333333333331</v>
      </c>
      <c r="C215" s="304">
        <f t="shared" si="174"/>
        <v>24</v>
      </c>
      <c r="D215" s="65"/>
      <c r="E215" s="66"/>
      <c r="F215" s="66"/>
      <c r="G215" s="66"/>
      <c r="H215" s="66"/>
      <c r="I215" s="66"/>
      <c r="J215" s="86"/>
      <c r="K215" s="86"/>
      <c r="L215" s="63"/>
      <c r="M215" s="432">
        <v>55</v>
      </c>
      <c r="N215" s="364">
        <v>85</v>
      </c>
      <c r="O215" s="265"/>
      <c r="P215" s="722">
        <f>(N215-M215)*P$1</f>
        <v>285</v>
      </c>
      <c r="Q215" s="724">
        <f>P215/((N215-M215)*N$4)</f>
        <v>1.890923566878981</v>
      </c>
      <c r="R215" s="725">
        <f>10*Q215/(AVERAGE(D212,D206))</f>
        <v>5.3041334274305214</v>
      </c>
      <c r="S215" s="86"/>
      <c r="T215" s="86"/>
      <c r="U215" s="86"/>
      <c r="V215" s="65"/>
      <c r="W215" s="66"/>
      <c r="X215" s="66"/>
      <c r="Y215" s="66"/>
      <c r="Z215" s="66"/>
      <c r="AA215" s="86"/>
      <c r="AB215" s="86"/>
      <c r="AC215" s="63"/>
      <c r="AD215" s="87"/>
      <c r="AE215" s="87"/>
      <c r="AF215" s="87"/>
      <c r="AG215" s="66"/>
      <c r="AH215" s="66"/>
      <c r="AI215" s="64"/>
      <c r="AJ215" s="63"/>
      <c r="AK215" s="65"/>
      <c r="AL215" s="66">
        <v>35.6</v>
      </c>
      <c r="AM215" s="301">
        <v>3881</v>
      </c>
      <c r="AN215" s="89">
        <f t="shared" si="202"/>
        <v>60.480000000000004</v>
      </c>
      <c r="AO215" s="488">
        <f t="shared" si="203"/>
        <v>23.363095238095237</v>
      </c>
      <c r="AP215" s="72">
        <v>2145</v>
      </c>
      <c r="AQ215" s="76">
        <f t="shared" si="181"/>
        <v>167085.77812500001</v>
      </c>
      <c r="AR215" s="76">
        <f t="shared" si="195"/>
        <v>1267.2843749999884</v>
      </c>
      <c r="AS215" s="230">
        <f t="shared" si="196"/>
        <v>52.803515624999513</v>
      </c>
      <c r="AT215" s="72">
        <f t="shared" si="204"/>
        <v>723.39224471709451</v>
      </c>
      <c r="AU215" s="66"/>
      <c r="AV215" s="143">
        <f t="shared" si="205"/>
        <v>564.36074560306793</v>
      </c>
      <c r="AW215" s="511">
        <f t="shared" si="157"/>
        <v>0.89687499999999176</v>
      </c>
      <c r="AX215" s="66"/>
      <c r="AY215" s="66"/>
      <c r="AZ215" s="66"/>
      <c r="BA215" s="66"/>
      <c r="BB215" s="66"/>
      <c r="BC215" s="63"/>
      <c r="BD215" s="64"/>
      <c r="BE215" s="147"/>
      <c r="BF215" s="86"/>
      <c r="BG215" s="65"/>
      <c r="BH215" s="66"/>
      <c r="BI215" s="66"/>
      <c r="BJ215" s="66"/>
      <c r="BK215" s="66"/>
      <c r="BL215" s="86"/>
      <c r="BM215" s="86"/>
      <c r="BN215" s="63"/>
      <c r="BO215" s="87"/>
      <c r="BP215" s="87"/>
      <c r="BQ215" s="87"/>
      <c r="BR215" s="66"/>
      <c r="BS215" s="64"/>
      <c r="BT215" s="66"/>
      <c r="BU215" s="67"/>
      <c r="BV215" s="65"/>
      <c r="BW215" s="66">
        <v>51</v>
      </c>
      <c r="BX215" s="72">
        <v>2217</v>
      </c>
      <c r="BY215" s="443">
        <f t="shared" si="197"/>
        <v>30</v>
      </c>
      <c r="BZ215" s="443">
        <f t="shared" si="198"/>
        <v>24.866666666666667</v>
      </c>
      <c r="CA215" s="72">
        <v>1190</v>
      </c>
      <c r="CB215" s="76">
        <f t="shared" si="182"/>
        <v>92315.018750000003</v>
      </c>
      <c r="CC215" s="289">
        <f t="shared" si="199"/>
        <v>613.28125</v>
      </c>
      <c r="CD215" s="289">
        <f t="shared" si="200"/>
        <v>25.553385416666668</v>
      </c>
      <c r="CE215" s="72">
        <f t="shared" si="206"/>
        <v>661.03183622392044</v>
      </c>
      <c r="CF215" s="66"/>
      <c r="CG215" s="72">
        <f>CC215/(AVERAGE(BY215)*AVERAGE((D$197,D$190,D$206,D$178,D$212,D$213,D$192,D$199,D$204))*0.01)</f>
        <v>552.7462587968372</v>
      </c>
      <c r="CH215" s="433">
        <f t="shared" si="201"/>
        <v>0.82209282841823061</v>
      </c>
      <c r="CI215" s="66"/>
      <c r="CJ215" s="66"/>
      <c r="CK215" s="66"/>
      <c r="CL215" s="66"/>
      <c r="CM215" s="66"/>
      <c r="CN215" s="110"/>
    </row>
    <row r="216" spans="1:92" ht="15">
      <c r="A216" s="141">
        <f t="shared" si="194"/>
        <v>41371</v>
      </c>
      <c r="B216" s="307">
        <f t="shared" si="207"/>
        <v>0.33333333333333331</v>
      </c>
      <c r="C216" s="304">
        <f t="shared" si="174"/>
        <v>24</v>
      </c>
      <c r="D216" s="65"/>
      <c r="E216" s="66"/>
      <c r="F216" s="66"/>
      <c r="G216" s="66"/>
      <c r="H216" s="66"/>
      <c r="I216" s="66"/>
      <c r="J216" s="86"/>
      <c r="K216" s="86"/>
      <c r="L216" s="63"/>
      <c r="M216" s="86"/>
      <c r="N216" s="66"/>
      <c r="O216" s="265"/>
      <c r="P216" s="224"/>
      <c r="Q216" s="210"/>
      <c r="R216" s="225"/>
      <c r="S216" s="211"/>
      <c r="T216" s="211"/>
      <c r="U216" s="231"/>
      <c r="V216" s="65"/>
      <c r="W216" s="66"/>
      <c r="X216" s="66"/>
      <c r="Y216" s="66"/>
      <c r="Z216" s="66"/>
      <c r="AA216" s="86"/>
      <c r="AB216" s="86"/>
      <c r="AC216" s="63"/>
      <c r="AD216" s="87"/>
      <c r="AE216" s="87"/>
      <c r="AF216" s="87"/>
      <c r="AG216" s="66"/>
      <c r="AH216" s="66"/>
      <c r="AI216" s="64"/>
      <c r="AJ216" s="63"/>
      <c r="AK216" s="65"/>
      <c r="AL216" s="66">
        <v>35.6</v>
      </c>
      <c r="AM216" s="301">
        <v>3909</v>
      </c>
      <c r="AN216" s="89">
        <f t="shared" si="202"/>
        <v>60.480000000000004</v>
      </c>
      <c r="AO216" s="488">
        <f t="shared" si="203"/>
        <v>23.363095238095237</v>
      </c>
      <c r="AP216" s="72">
        <v>2163</v>
      </c>
      <c r="AQ216" s="76">
        <f t="shared" si="181"/>
        <v>168172.02187500003</v>
      </c>
      <c r="AR216" s="76">
        <f t="shared" si="195"/>
        <v>1086.2437500000233</v>
      </c>
      <c r="AS216" s="230">
        <f t="shared" si="196"/>
        <v>45.260156250000968</v>
      </c>
      <c r="AT216" s="72">
        <f t="shared" si="204"/>
        <v>620.05049547181432</v>
      </c>
      <c r="AU216" s="66"/>
      <c r="AV216" s="143">
        <f t="shared" si="205"/>
        <v>483.73778194550158</v>
      </c>
      <c r="AW216" s="511">
        <f t="shared" si="157"/>
        <v>0.76875000000001648</v>
      </c>
      <c r="AX216" s="66"/>
      <c r="AY216" s="66"/>
      <c r="AZ216" s="66"/>
      <c r="BA216" s="66"/>
      <c r="BB216" s="66"/>
      <c r="BC216" s="63"/>
      <c r="BD216" s="64"/>
      <c r="BE216" s="147"/>
      <c r="BF216" s="213"/>
      <c r="BG216" s="65"/>
      <c r="BH216" s="66"/>
      <c r="BI216" s="66"/>
      <c r="BJ216" s="66"/>
      <c r="BK216" s="66"/>
      <c r="BL216" s="86"/>
      <c r="BM216" s="86"/>
      <c r="BN216" s="63"/>
      <c r="BO216" s="87"/>
      <c r="BP216" s="87"/>
      <c r="BQ216" s="87"/>
      <c r="BR216" s="66"/>
      <c r="BS216" s="64"/>
      <c r="BT216" s="66"/>
      <c r="BU216" s="67"/>
      <c r="BV216" s="65"/>
      <c r="BW216" s="66">
        <v>51</v>
      </c>
      <c r="BX216" s="72">
        <v>2233</v>
      </c>
      <c r="BY216" s="443">
        <f t="shared" si="197"/>
        <v>32</v>
      </c>
      <c r="BZ216" s="443">
        <f t="shared" si="198"/>
        <v>23.3125</v>
      </c>
      <c r="CA216" s="72">
        <v>1199</v>
      </c>
      <c r="CB216" s="76">
        <f t="shared" si="182"/>
        <v>92866.971875000003</v>
      </c>
      <c r="CC216" s="289">
        <f t="shared" si="199"/>
        <v>551.953125</v>
      </c>
      <c r="CD216" s="289">
        <f t="shared" si="200"/>
        <v>22.998046875</v>
      </c>
      <c r="CE216" s="72">
        <f t="shared" si="206"/>
        <v>614.11989945964217</v>
      </c>
      <c r="CF216" s="66"/>
      <c r="CG216" s="72">
        <f>CC216/(AVERAGE(BY216)*AVERAGE((D$197,D$190,D$206,D$178,D$212,D$213,D$192,D$199,D$204))*0.01)</f>
        <v>466.37965585983142</v>
      </c>
      <c r="CH216" s="433">
        <f t="shared" si="201"/>
        <v>0.73988354557640745</v>
      </c>
      <c r="CI216" s="66"/>
      <c r="CJ216" s="66"/>
      <c r="CK216" s="66"/>
      <c r="CL216" s="66"/>
      <c r="CM216" s="66"/>
      <c r="CN216" s="110"/>
    </row>
    <row r="217" spans="1:92">
      <c r="A217" s="141">
        <f t="shared" si="194"/>
        <v>41372</v>
      </c>
      <c r="B217" s="307">
        <f t="shared" si="207"/>
        <v>0.33333333333333331</v>
      </c>
      <c r="C217" s="304">
        <f t="shared" si="174"/>
        <v>24</v>
      </c>
      <c r="D217" s="65"/>
      <c r="E217" s="66"/>
      <c r="F217" s="66"/>
      <c r="G217" s="66"/>
      <c r="H217" s="66"/>
      <c r="I217" s="66"/>
      <c r="J217" s="86"/>
      <c r="K217" s="86"/>
      <c r="L217" s="63"/>
      <c r="M217" s="86"/>
      <c r="N217" s="66"/>
      <c r="O217" s="265"/>
      <c r="P217" s="65"/>
      <c r="Q217" s="66"/>
      <c r="R217" s="67"/>
      <c r="S217" s="86"/>
      <c r="T217" s="86"/>
      <c r="U217" s="86"/>
      <c r="V217" s="65"/>
      <c r="W217" s="66"/>
      <c r="X217" s="66"/>
      <c r="Y217" s="66"/>
      <c r="Z217" s="66"/>
      <c r="AA217" s="86"/>
      <c r="AB217" s="86"/>
      <c r="AC217" s="63"/>
      <c r="AD217" s="87"/>
      <c r="AE217" s="87"/>
      <c r="AF217" s="87"/>
      <c r="AG217" s="66"/>
      <c r="AH217" s="66"/>
      <c r="AI217" s="64"/>
      <c r="AJ217" s="63"/>
      <c r="AK217" s="65"/>
      <c r="AL217" s="66">
        <v>35.6</v>
      </c>
      <c r="AM217" s="301">
        <v>3937</v>
      </c>
      <c r="AN217" s="89">
        <f t="shared" si="202"/>
        <v>60.480000000000004</v>
      </c>
      <c r="AO217" s="488">
        <f t="shared" si="203"/>
        <v>23.363095238095237</v>
      </c>
      <c r="AP217" s="72">
        <v>2183</v>
      </c>
      <c r="AQ217" s="76">
        <f t="shared" si="181"/>
        <v>169378.95937500001</v>
      </c>
      <c r="AR217" s="76">
        <f t="shared" si="195"/>
        <v>1206.9374999999709</v>
      </c>
      <c r="AS217" s="230">
        <f t="shared" si="196"/>
        <v>50.289062499998785</v>
      </c>
      <c r="AT217" s="72">
        <f t="shared" si="204"/>
        <v>688.94499496865114</v>
      </c>
      <c r="AU217" s="66"/>
      <c r="AV217" s="143">
        <f t="shared" si="205"/>
        <v>537.48642438386617</v>
      </c>
      <c r="AW217" s="511">
        <f t="shared" si="157"/>
        <v>0.85416666666664609</v>
      </c>
      <c r="AX217" s="66"/>
      <c r="AY217" s="66"/>
      <c r="AZ217" s="66"/>
      <c r="BA217" s="66"/>
      <c r="BB217" s="66"/>
      <c r="BC217" s="102"/>
      <c r="BD217" s="64"/>
      <c r="BE217" s="147"/>
      <c r="BF217" s="86"/>
      <c r="BG217" s="65"/>
      <c r="BH217" s="66"/>
      <c r="BI217" s="66"/>
      <c r="BJ217" s="66"/>
      <c r="BK217" s="66"/>
      <c r="BL217" s="86"/>
      <c r="BM217" s="86"/>
      <c r="BN217" s="63"/>
      <c r="BO217" s="87"/>
      <c r="BP217" s="87"/>
      <c r="BQ217" s="87"/>
      <c r="BR217" s="66"/>
      <c r="BS217" s="64"/>
      <c r="BT217" s="66"/>
      <c r="BU217" s="67"/>
      <c r="BV217" s="65"/>
      <c r="BW217" s="66">
        <v>51.1</v>
      </c>
      <c r="BX217" s="72">
        <v>2250</v>
      </c>
      <c r="BY217" s="443">
        <f t="shared" si="197"/>
        <v>34</v>
      </c>
      <c r="BZ217" s="443">
        <f t="shared" si="198"/>
        <v>21.941176470588236</v>
      </c>
      <c r="CA217" s="72">
        <v>1208</v>
      </c>
      <c r="CB217" s="76">
        <f t="shared" si="182"/>
        <v>93418.925000000003</v>
      </c>
      <c r="CC217" s="289">
        <f t="shared" si="199"/>
        <v>551.953125</v>
      </c>
      <c r="CD217" s="289">
        <f t="shared" si="200"/>
        <v>22.998046875</v>
      </c>
      <c r="CE217" s="72">
        <f t="shared" si="206"/>
        <v>576.90051161360316</v>
      </c>
      <c r="CF217" s="66"/>
      <c r="CG217" s="72">
        <f>CC217/(AVERAGE(BY217)*AVERAGE((D$197,D$190,D$206,D$178,D$212,D$213,D$192,D$199,D$204))*0.01)</f>
        <v>438.94555845631186</v>
      </c>
      <c r="CH217" s="433">
        <f t="shared" si="201"/>
        <v>0.73988354557640745</v>
      </c>
      <c r="CI217" s="66"/>
      <c r="CJ217" s="66"/>
      <c r="CK217" s="66"/>
      <c r="CL217" s="66"/>
      <c r="CM217" s="66"/>
      <c r="CN217" s="110"/>
    </row>
    <row r="218" spans="1:92" s="69" customFormat="1" ht="15">
      <c r="A218" s="141">
        <f t="shared" si="194"/>
        <v>41373</v>
      </c>
      <c r="B218" s="307">
        <f t="shared" si="207"/>
        <v>0.33333333333333331</v>
      </c>
      <c r="C218" s="304">
        <f t="shared" si="174"/>
        <v>24</v>
      </c>
      <c r="D218" s="65"/>
      <c r="E218" s="66"/>
      <c r="F218" s="66"/>
      <c r="G218" s="66"/>
      <c r="H218" s="66"/>
      <c r="I218" s="66"/>
      <c r="J218" s="86"/>
      <c r="K218" s="86"/>
      <c r="L218" s="63"/>
      <c r="M218" s="86">
        <v>55</v>
      </c>
      <c r="N218" s="66">
        <v>85</v>
      </c>
      <c r="O218" s="265"/>
      <c r="P218" s="723">
        <f>(N218-M218)*P$1</f>
        <v>285</v>
      </c>
      <c r="Q218" s="212">
        <f>P218/((N218-M218)*N$4)</f>
        <v>1.890923566878981</v>
      </c>
      <c r="R218" s="226">
        <f>10*Q218/(AVERAGE(D213,D212))</f>
        <v>4.5400325735389702</v>
      </c>
      <c r="S218" s="86"/>
      <c r="T218" s="86"/>
      <c r="U218" s="86"/>
      <c r="V218" s="65"/>
      <c r="W218" s="66"/>
      <c r="X218" s="76"/>
      <c r="Y218" s="66"/>
      <c r="Z218" s="66"/>
      <c r="AA218" s="86"/>
      <c r="AB218" s="86"/>
      <c r="AC218" s="63"/>
      <c r="AD218" s="93"/>
      <c r="AE218" s="83"/>
      <c r="AF218" s="88"/>
      <c r="AG218" s="85"/>
      <c r="AH218" s="75"/>
      <c r="AI218" s="83"/>
      <c r="AJ218" s="195"/>
      <c r="AK218" s="65"/>
      <c r="AL218" s="66">
        <v>35.6</v>
      </c>
      <c r="AM218" s="301">
        <v>3965</v>
      </c>
      <c r="AN218" s="89">
        <f t="shared" si="202"/>
        <v>60.480000000000004</v>
      </c>
      <c r="AO218" s="488">
        <f t="shared" si="203"/>
        <v>23.363095238095237</v>
      </c>
      <c r="AP218" s="72">
        <v>2199</v>
      </c>
      <c r="AQ218" s="76">
        <f t="shared" si="181"/>
        <v>170344.50937500002</v>
      </c>
      <c r="AR218" s="76">
        <f t="shared" si="195"/>
        <v>965.55000000001746</v>
      </c>
      <c r="AS218" s="230">
        <f t="shared" si="196"/>
        <v>40.231250000000728</v>
      </c>
      <c r="AT218" s="72">
        <f t="shared" si="204"/>
        <v>551.15599597494418</v>
      </c>
      <c r="AU218" s="85"/>
      <c r="AV218" s="143">
        <f t="shared" si="205"/>
        <v>429.98913950711108</v>
      </c>
      <c r="AW218" s="511">
        <f t="shared" si="157"/>
        <v>0.68333333333334567</v>
      </c>
      <c r="AX218" s="66"/>
      <c r="AY218" s="66"/>
      <c r="AZ218" s="66"/>
      <c r="BA218" s="66"/>
      <c r="BB218" s="66"/>
      <c r="BC218" s="63"/>
      <c r="BD218" s="64"/>
      <c r="BE218" s="147"/>
      <c r="BF218" s="86"/>
      <c r="BG218" s="65"/>
      <c r="BH218" s="66"/>
      <c r="BI218" s="76"/>
      <c r="BJ218" s="66"/>
      <c r="BK218" s="76"/>
      <c r="BL218" s="86"/>
      <c r="BM218" s="86"/>
      <c r="BN218" s="63"/>
      <c r="BO218" s="93"/>
      <c r="BP218" s="83"/>
      <c r="BQ218" s="88"/>
      <c r="BR218" s="85"/>
      <c r="BS218" s="194"/>
      <c r="BT218" s="75"/>
      <c r="BU218" s="179"/>
      <c r="BV218" s="65"/>
      <c r="BW218" s="66">
        <v>51</v>
      </c>
      <c r="BX218" s="72">
        <v>2266</v>
      </c>
      <c r="BY218" s="443">
        <f t="shared" si="197"/>
        <v>32</v>
      </c>
      <c r="BZ218" s="443">
        <f t="shared" si="198"/>
        <v>23.3125</v>
      </c>
      <c r="CA218" s="72">
        <v>1217</v>
      </c>
      <c r="CB218" s="76">
        <f t="shared" si="182"/>
        <v>93970.878125000003</v>
      </c>
      <c r="CC218" s="289">
        <f t="shared" si="199"/>
        <v>551.953125</v>
      </c>
      <c r="CD218" s="289">
        <f t="shared" si="200"/>
        <v>22.998046875</v>
      </c>
      <c r="CE218" s="72">
        <f t="shared" si="206"/>
        <v>576.90051161360316</v>
      </c>
      <c r="CF218" s="161"/>
      <c r="CG218" s="72">
        <f>CC218/(AVERAGE(BY218)*AVERAGE((D$197,D$190,D$206,D$178,D$212,D$213,D$192,D$199,D$204))*0.01)</f>
        <v>466.37965585983142</v>
      </c>
      <c r="CH218" s="433">
        <f t="shared" si="201"/>
        <v>0.73988354557640745</v>
      </c>
      <c r="CI218" s="66"/>
      <c r="CJ218" s="66"/>
      <c r="CK218" s="66"/>
      <c r="CL218" s="66"/>
      <c r="CM218" s="66"/>
      <c r="CN218" s="111"/>
    </row>
    <row r="219" spans="1:92" s="337" customFormat="1">
      <c r="A219" s="309">
        <f t="shared" si="194"/>
        <v>41374</v>
      </c>
      <c r="B219" s="307">
        <f t="shared" si="207"/>
        <v>0.33333333333333331</v>
      </c>
      <c r="C219" s="304">
        <f t="shared" si="174"/>
        <v>24</v>
      </c>
      <c r="D219" s="339">
        <v>3.42</v>
      </c>
      <c r="E219" s="365">
        <v>78.36</v>
      </c>
      <c r="F219" s="319"/>
      <c r="G219" s="365">
        <v>6.05</v>
      </c>
      <c r="H219" s="319"/>
      <c r="I219" s="319"/>
      <c r="J219" s="317"/>
      <c r="K219" s="317"/>
      <c r="L219" s="320"/>
      <c r="M219" s="317"/>
      <c r="N219" s="319"/>
      <c r="O219" s="472"/>
      <c r="P219" s="318"/>
      <c r="Q219" s="319"/>
      <c r="R219" s="332"/>
      <c r="S219" s="317"/>
      <c r="T219" s="317"/>
      <c r="U219" s="317"/>
      <c r="V219" s="721">
        <v>2.3700248288315438</v>
      </c>
      <c r="W219" s="536">
        <v>67.94</v>
      </c>
      <c r="X219" s="319"/>
      <c r="Y219" s="319"/>
      <c r="Z219" s="319"/>
      <c r="AA219" s="317"/>
      <c r="AB219" s="317"/>
      <c r="AC219" s="320"/>
      <c r="AD219" s="391">
        <f>D212*(100-E212)/(100-W219)</f>
        <v>2.0734061135371173</v>
      </c>
      <c r="AE219" s="742">
        <f>D212-V219</f>
        <v>1.0599751711684564</v>
      </c>
      <c r="AF219" s="393">
        <f>100*(AVERAGE(D$199,D$206,D$212,D$204,D$197,D$192,D$185,D$213,D$183,D$190)-V219)/AVERAGE(D$199,D$206,D$212,D$204,D$197,D$192,D$185,D$213,D$183,D$190)</f>
        <v>36.02395409441651</v>
      </c>
      <c r="AG219" s="393">
        <f>100*(1-((100-AVERAGE(E$197,E$206,E$212,E$204,E$199,E$190,E$192,E$213,E$183,E$185))/(100-W219)))</f>
        <v>30.999008269750604</v>
      </c>
      <c r="AH219" s="387">
        <f>E212-W219</f>
        <v>12.680000000000007</v>
      </c>
      <c r="AI219" s="393">
        <f>100*(1-((V219*W219)/(AVERAGE(D$199,D$206,D$212,D$204,D$197,D$192,D$185,D$213,D$183,D$190)*AVERAGE(E$197,E$206,E$212,E$204,E$199,E$190,E$192,E$213,E$183,E$185))))</f>
        <v>44.18812993379597</v>
      </c>
      <c r="AJ219" s="389">
        <f>100*100*((AVERAGE(E$197,E$206,E$212,E$204,E$199,E$190,E$192,E$178,E$183,E$185)-W219)/((100-W219)*AVERAGE(E$197,E$206,E$212,E$204,E$199,E$190,E$192,E$213,E$183,E$185)))</f>
        <v>40.240995265545109</v>
      </c>
      <c r="AK219" s="318">
        <v>7.15</v>
      </c>
      <c r="AL219" s="470">
        <v>33.6</v>
      </c>
      <c r="AM219" s="301">
        <v>3993</v>
      </c>
      <c r="AN219" s="89">
        <f t="shared" si="202"/>
        <v>60.480000000000004</v>
      </c>
      <c r="AO219" s="488">
        <f t="shared" si="203"/>
        <v>23.363095238095237</v>
      </c>
      <c r="AP219" s="313">
        <v>2216</v>
      </c>
      <c r="AQ219" s="348">
        <f t="shared" si="181"/>
        <v>171370.40625000003</v>
      </c>
      <c r="AR219" s="76">
        <f t="shared" si="195"/>
        <v>1025.8968750000058</v>
      </c>
      <c r="AS219" s="230">
        <f t="shared" si="196"/>
        <v>42.74570312500024</v>
      </c>
      <c r="AT219" s="72">
        <f t="shared" si="204"/>
        <v>585.60324572337095</v>
      </c>
      <c r="AU219" s="313">
        <f>(AQ219-AQ190)/(AVERAGE(AN190:AN219)*((AVERAGE(D192,D206,D197,D199,D213,D212,D204,D190)*AVERAGE(E192,E206,E197,E199,E213,E212,E204,E190))-(V219*W219))*0.0001*(SUM(C190:C219)/24))</f>
        <v>1327.8786563604194</v>
      </c>
      <c r="AV219" s="143">
        <f t="shared" si="205"/>
        <v>456.86346072629988</v>
      </c>
      <c r="AW219" s="511">
        <f t="shared" si="157"/>
        <v>0.7260416666666708</v>
      </c>
      <c r="AX219" s="319">
        <v>69.599999999999994</v>
      </c>
      <c r="AY219" s="319">
        <v>29.7</v>
      </c>
      <c r="AZ219" s="319">
        <v>0</v>
      </c>
      <c r="BA219" s="319">
        <v>101</v>
      </c>
      <c r="BB219" s="319">
        <v>130</v>
      </c>
      <c r="BC219" s="320"/>
      <c r="BD219" s="368"/>
      <c r="BE219" s="330"/>
      <c r="BF219" s="317"/>
      <c r="BG219" s="598">
        <v>2.3556327585476429</v>
      </c>
      <c r="BH219" s="599">
        <v>68.165467625899112</v>
      </c>
      <c r="BI219" s="319"/>
      <c r="BJ219" s="319"/>
      <c r="BK219" s="319"/>
      <c r="BL219" s="317"/>
      <c r="BM219" s="317"/>
      <c r="BN219" s="320"/>
      <c r="BO219" s="376">
        <f>D212*(100-E212)/(100-BH219)</f>
        <v>2.0880909830508361</v>
      </c>
      <c r="BP219" s="372">
        <f>D212-BG219</f>
        <v>1.0743672414523573</v>
      </c>
      <c r="BQ219" s="374">
        <f>100*(AVERAGE(D$199,(0.95*D$206),D$212,D$204,D$197,D$192,D$190,D$213,D$183,D$185)-BG219)/AVERAGE(D$199,(0.95*D$206),D$212,D$204,D$197,D$192,D$190,D$213,D$183,D$185)</f>
        <v>36.093310222320653</v>
      </c>
      <c r="BR219" s="367">
        <f>100*(1-((100-AVERAGE(E$199,E$206,E$212,E$204,E$197,E$192,E$190,E$213,E$183,E$185))/(100-BH219)))</f>
        <v>30.510309720411755</v>
      </c>
      <c r="BS219" s="375">
        <f>E212-BH219</f>
        <v>12.454532374100893</v>
      </c>
      <c r="BT219" s="312">
        <f>100*(1-((BG219*BH219)/(AVERAGE(D$199,(0.95*D$206),D$212,D$204,D$197,D$192,D$190,D$213,D$183,D$185)*AVERAGE(E$199,E$206,E$212,E$204,E$197,E$192,E$190,E$213,E$183,E$185))))</f>
        <v>44.063617245045961</v>
      </c>
      <c r="BU219" s="412">
        <f>100*100*((AVERAGE(E$199,E$206,E$212,E$204,E$197,E$192,E$190,E$213,E$183,E$185)-BH219)/((100-BH219)*AVERAGE(E$199,E$206,E$212,E$204,E$197,E$192,E$190,E$213,E$183,E$185)))</f>
        <v>39.176916743388141</v>
      </c>
      <c r="BV219" s="318">
        <v>7.26</v>
      </c>
      <c r="BW219" s="365">
        <v>47.8</v>
      </c>
      <c r="BX219" s="72">
        <v>2281</v>
      </c>
      <c r="BY219" s="443">
        <f t="shared" si="197"/>
        <v>30</v>
      </c>
      <c r="BZ219" s="443">
        <f t="shared" si="198"/>
        <v>24.866666666666667</v>
      </c>
      <c r="CA219" s="313">
        <v>1227</v>
      </c>
      <c r="CB219" s="348">
        <f t="shared" si="182"/>
        <v>94584.159375000003</v>
      </c>
      <c r="CC219" s="289">
        <f t="shared" si="199"/>
        <v>613.28125</v>
      </c>
      <c r="CD219" s="289">
        <f t="shared" si="200"/>
        <v>25.553385416666668</v>
      </c>
      <c r="CE219" s="313">
        <f t="shared" si="206"/>
        <v>682.35544384404682</v>
      </c>
      <c r="CF219" s="313">
        <f>(CB219-CB190)/(AVERAGE(BY190:BY219)*((AVERAGE(D204,D196,D199,D212,D213,D206,D197,D191)*AVERAGE(E204,E196,E213,E199,E212,E206,E198,E191))-(BG219*BH219))*0.0001*(SUM(C190:C219)/24))</f>
        <v>1318.4427348691984</v>
      </c>
      <c r="CG219" s="72">
        <f>CC219/(AVERAGE(BY219)*AVERAGE((D$197,D$190,D$206,D$178,D$212,D$213,D$192,D$199,D$204))*0.01)</f>
        <v>552.7462587968372</v>
      </c>
      <c r="CH219" s="433">
        <f t="shared" si="201"/>
        <v>0.82209282841823061</v>
      </c>
      <c r="CI219" s="319">
        <v>65.8</v>
      </c>
      <c r="CJ219" s="319">
        <v>31.3</v>
      </c>
      <c r="CK219" s="319">
        <v>0</v>
      </c>
      <c r="CL219" s="319">
        <v>100</v>
      </c>
      <c r="CM219" s="319">
        <v>270</v>
      </c>
      <c r="CN219" s="442"/>
    </row>
    <row r="220" spans="1:92" ht="15">
      <c r="A220" s="141">
        <f t="shared" si="194"/>
        <v>41375</v>
      </c>
      <c r="B220" s="307">
        <f t="shared" si="207"/>
        <v>0.33333333333333331</v>
      </c>
      <c r="C220" s="304">
        <f t="shared" si="174"/>
        <v>24</v>
      </c>
      <c r="D220" s="65"/>
      <c r="E220" s="66"/>
      <c r="F220" s="66"/>
      <c r="G220" s="66"/>
      <c r="H220" s="66"/>
      <c r="I220" s="66"/>
      <c r="J220" s="86"/>
      <c r="K220" s="86"/>
      <c r="L220" s="63"/>
      <c r="M220" s="86">
        <v>57</v>
      </c>
      <c r="N220" s="66">
        <v>85</v>
      </c>
      <c r="O220" s="265"/>
      <c r="P220" s="723">
        <f>(30)*P$1</f>
        <v>285</v>
      </c>
      <c r="Q220" s="212">
        <f>P220/((N220-M220)*N$4)</f>
        <v>2.0259895359417652</v>
      </c>
      <c r="R220" s="226">
        <f>10*Q220/(AVERAGE(D213,D212))</f>
        <v>4.8643206145060391</v>
      </c>
      <c r="S220" s="86"/>
      <c r="T220" s="86"/>
      <c r="U220" s="232"/>
      <c r="V220" s="65"/>
      <c r="W220" s="66"/>
      <c r="X220" s="66"/>
      <c r="Y220" s="66"/>
      <c r="Z220" s="66"/>
      <c r="AA220" s="86"/>
      <c r="AB220" s="86"/>
      <c r="AC220" s="63"/>
      <c r="AD220" s="87"/>
      <c r="AE220" s="87"/>
      <c r="AF220" s="87"/>
      <c r="AG220" s="66"/>
      <c r="AH220" s="66"/>
      <c r="AI220" s="64"/>
      <c r="AJ220" s="63"/>
      <c r="AK220" s="65"/>
      <c r="AL220" s="66">
        <v>35.6</v>
      </c>
      <c r="AM220" s="301">
        <v>4021</v>
      </c>
      <c r="AN220" s="89">
        <f t="shared" si="202"/>
        <v>60.480000000000004</v>
      </c>
      <c r="AO220" s="488">
        <f t="shared" si="203"/>
        <v>23.363095238095237</v>
      </c>
      <c r="AP220" s="72">
        <v>2233</v>
      </c>
      <c r="AQ220" s="76">
        <f t="shared" si="181"/>
        <v>172396.30312500001</v>
      </c>
      <c r="AR220" s="76">
        <f t="shared" si="195"/>
        <v>1025.8968749999767</v>
      </c>
      <c r="AS220" s="230">
        <f t="shared" si="196"/>
        <v>42.745703124999032</v>
      </c>
      <c r="AT220" s="72">
        <f t="shared" ref="AT220:AT225" si="208">AR220/(AVERAGE(AN220)*(AVERAGE(D$197,D$190,D$206,D$212,D$213,D$219,D$192,D$199,D$204))*AVERAGE(E$197,E$190,E$206,E$212,E$213,E$219,E$192,E$199,E$204)*0.0001)</f>
        <v>597.3364179647632</v>
      </c>
      <c r="AU220" s="66"/>
      <c r="AV220" s="143">
        <f t="shared" ref="AV220:AV225" si="209">AR220/(AVERAGE(AN220)*AVERAGE(D$197,D$190,D$206,D$212,D$213,D$219,D$192,D$199,D$204)*0.01)</f>
        <v>467.78265797398905</v>
      </c>
      <c r="AW220" s="511">
        <f t="shared" si="157"/>
        <v>0.72604166666665015</v>
      </c>
      <c r="AX220" s="66"/>
      <c r="AY220" s="66"/>
      <c r="AZ220" s="66"/>
      <c r="BA220" s="66"/>
      <c r="BB220" s="66"/>
      <c r="BC220" s="63"/>
      <c r="BD220" s="64"/>
      <c r="BE220" s="147"/>
      <c r="BF220" s="213"/>
      <c r="BG220" s="65"/>
      <c r="BH220" s="66"/>
      <c r="BI220" s="66"/>
      <c r="BJ220" s="66"/>
      <c r="BK220" s="66"/>
      <c r="BL220" s="86"/>
      <c r="BM220" s="86"/>
      <c r="BN220" s="63"/>
      <c r="BO220" s="87"/>
      <c r="BP220" s="87"/>
      <c r="BQ220" s="87"/>
      <c r="BR220" s="66"/>
      <c r="BS220" s="64"/>
      <c r="BT220" s="66"/>
      <c r="BU220" s="67"/>
      <c r="BV220" s="65"/>
      <c r="BW220" s="66">
        <v>51</v>
      </c>
      <c r="BX220" s="72">
        <v>2297</v>
      </c>
      <c r="BY220" s="443">
        <f t="shared" si="197"/>
        <v>32</v>
      </c>
      <c r="BZ220" s="443">
        <f t="shared" si="198"/>
        <v>23.3125</v>
      </c>
      <c r="CA220" s="72">
        <v>1236</v>
      </c>
      <c r="CB220" s="76">
        <f t="shared" si="182"/>
        <v>95136.112500000003</v>
      </c>
      <c r="CC220" s="289">
        <f t="shared" si="199"/>
        <v>551.953125</v>
      </c>
      <c r="CD220" s="289">
        <f t="shared" si="200"/>
        <v>22.998046875</v>
      </c>
      <c r="CE220" s="72">
        <f t="shared" ref="CE220:CE225" si="210">CC220/(AVERAGE(BY219,BY220)*(AVERAGE(D$197,D$190,D$206,D$178,D$212,D$213,D$219,D$199,D$204))*AVERAGE(E$197,E$190,E$206,E$178,E$212,E$213,E$219,E$199,E$204)*0.0001)</f>
        <v>611.70497280869074</v>
      </c>
      <c r="CF220" s="66"/>
      <c r="CG220" s="72">
        <f>CC220/(AVERAGE(BY220)*AVERAGE((D$197,D$190,D$206,D$178,D$212,D$213,D$219,D$199,D$204))*0.01)</f>
        <v>466.09959424378923</v>
      </c>
      <c r="CH220" s="433">
        <f t="shared" si="201"/>
        <v>0.73988354557640745</v>
      </c>
      <c r="CI220" s="66"/>
      <c r="CJ220" s="66"/>
      <c r="CK220" s="66"/>
      <c r="CL220" s="66"/>
      <c r="CM220" s="66"/>
      <c r="CN220" s="110"/>
    </row>
    <row r="221" spans="1:92" ht="15">
      <c r="A221" s="141">
        <f t="shared" si="194"/>
        <v>41376</v>
      </c>
      <c r="B221" s="307">
        <f t="shared" si="207"/>
        <v>0.33333333333333331</v>
      </c>
      <c r="C221" s="304">
        <f t="shared" si="174"/>
        <v>24</v>
      </c>
      <c r="D221" s="65"/>
      <c r="E221" s="66"/>
      <c r="F221" s="66"/>
      <c r="G221" s="66"/>
      <c r="H221" s="66"/>
      <c r="I221" s="66"/>
      <c r="J221" s="86"/>
      <c r="K221" s="86"/>
      <c r="L221" s="63"/>
      <c r="M221" s="86"/>
      <c r="N221" s="66"/>
      <c r="O221" s="265"/>
      <c r="P221" s="224"/>
      <c r="Q221" s="210"/>
      <c r="R221" s="225"/>
      <c r="S221" s="86"/>
      <c r="T221" s="86"/>
      <c r="U221" s="233"/>
      <c r="V221" s="65"/>
      <c r="W221" s="66"/>
      <c r="X221" s="66"/>
      <c r="Y221" s="66"/>
      <c r="Z221" s="66"/>
      <c r="AA221" s="86"/>
      <c r="AB221" s="86"/>
      <c r="AC221" s="63"/>
      <c r="AD221" s="87"/>
      <c r="AE221" s="87"/>
      <c r="AF221" s="87"/>
      <c r="AG221" s="66"/>
      <c r="AH221" s="66"/>
      <c r="AI221" s="64"/>
      <c r="AJ221" s="63"/>
      <c r="AK221" s="65"/>
      <c r="AL221" s="66">
        <v>35.6</v>
      </c>
      <c r="AM221" s="301">
        <v>4049</v>
      </c>
      <c r="AN221" s="89">
        <f t="shared" si="202"/>
        <v>60.480000000000004</v>
      </c>
      <c r="AO221" s="488">
        <f t="shared" si="203"/>
        <v>23.363095238095237</v>
      </c>
      <c r="AP221" s="72">
        <v>2251</v>
      </c>
      <c r="AQ221" s="76">
        <f t="shared" si="181"/>
        <v>173482.54687500003</v>
      </c>
      <c r="AR221" s="76">
        <f t="shared" si="195"/>
        <v>1086.2437500000233</v>
      </c>
      <c r="AS221" s="230">
        <f t="shared" si="196"/>
        <v>45.260156250000968</v>
      </c>
      <c r="AT221" s="72">
        <f t="shared" si="208"/>
        <v>632.47385431565965</v>
      </c>
      <c r="AU221" s="66"/>
      <c r="AV221" s="143">
        <f t="shared" si="209"/>
        <v>495.29928491365735</v>
      </c>
      <c r="AW221" s="511">
        <f t="shared" si="157"/>
        <v>0.76875000000001648</v>
      </c>
      <c r="AX221" s="66"/>
      <c r="AY221" s="66"/>
      <c r="AZ221" s="66"/>
      <c r="BA221" s="66"/>
      <c r="BB221" s="66"/>
      <c r="BC221" s="63"/>
      <c r="BD221" s="64"/>
      <c r="BE221" s="147"/>
      <c r="BF221" s="86"/>
      <c r="BG221" s="65"/>
      <c r="BH221" s="66"/>
      <c r="BI221" s="66"/>
      <c r="BJ221" s="66"/>
      <c r="BK221" s="66"/>
      <c r="BL221" s="86"/>
      <c r="BM221" s="86"/>
      <c r="BN221" s="63"/>
      <c r="BO221" s="87"/>
      <c r="BP221" s="87"/>
      <c r="BQ221" s="87"/>
      <c r="BR221" s="66"/>
      <c r="BS221" s="64"/>
      <c r="BT221" s="66"/>
      <c r="BU221" s="67"/>
      <c r="BV221" s="65"/>
      <c r="BW221" s="66">
        <v>51.1</v>
      </c>
      <c r="BX221" s="72">
        <v>2314</v>
      </c>
      <c r="BY221" s="443">
        <f t="shared" si="197"/>
        <v>34</v>
      </c>
      <c r="BZ221" s="443">
        <f t="shared" si="198"/>
        <v>21.941176470588236</v>
      </c>
      <c r="CA221" s="72">
        <v>1246</v>
      </c>
      <c r="CB221" s="76">
        <f t="shared" si="182"/>
        <v>95749.393750000003</v>
      </c>
      <c r="CC221" s="289">
        <f t="shared" si="199"/>
        <v>613.28125</v>
      </c>
      <c r="CD221" s="289">
        <f t="shared" si="200"/>
        <v>25.553385416666668</v>
      </c>
      <c r="CE221" s="72">
        <f t="shared" si="210"/>
        <v>638.47993794846502</v>
      </c>
      <c r="CF221" s="66"/>
      <c r="CG221" s="72">
        <f>CC221/(AVERAGE(BY221)*AVERAGE((D$197,D$190,D$206,D$178,D$212,D$213,D$219,D$199,D$204))*0.01)</f>
        <v>487.4244122810868</v>
      </c>
      <c r="CH221" s="433">
        <f t="shared" si="201"/>
        <v>0.82209282841823061</v>
      </c>
      <c r="CI221" s="66"/>
      <c r="CJ221" s="66"/>
      <c r="CK221" s="66"/>
      <c r="CL221" s="66"/>
      <c r="CM221" s="66"/>
      <c r="CN221" s="110"/>
    </row>
    <row r="222" spans="1:92" ht="15">
      <c r="A222" s="141">
        <f t="shared" si="194"/>
        <v>41377</v>
      </c>
      <c r="B222" s="307">
        <f t="shared" si="207"/>
        <v>0.33333333333333331</v>
      </c>
      <c r="C222" s="304">
        <f t="shared" si="174"/>
        <v>24</v>
      </c>
      <c r="D222" s="65"/>
      <c r="E222" s="66"/>
      <c r="F222" s="66"/>
      <c r="G222" s="66"/>
      <c r="H222" s="66"/>
      <c r="I222" s="66"/>
      <c r="J222" s="86"/>
      <c r="K222" s="86"/>
      <c r="L222" s="63"/>
      <c r="M222" s="86">
        <v>55</v>
      </c>
      <c r="N222" s="66">
        <v>85</v>
      </c>
      <c r="O222" s="264"/>
      <c r="P222" s="723">
        <f>(N222-M222)*P$1</f>
        <v>285</v>
      </c>
      <c r="Q222" s="212">
        <f>P222/((N222-M222)*N$4)</f>
        <v>1.890923566878981</v>
      </c>
      <c r="R222" s="226">
        <f>10*Q222/(AVERAGE(D219,D213))</f>
        <v>4.5454893434590895</v>
      </c>
      <c r="S222" s="211"/>
      <c r="T222" s="211"/>
      <c r="U222" s="232"/>
      <c r="V222" s="65"/>
      <c r="W222" s="66"/>
      <c r="X222" s="66"/>
      <c r="Y222" s="66"/>
      <c r="Z222" s="66"/>
      <c r="AA222" s="86"/>
      <c r="AB222" s="86"/>
      <c r="AC222" s="63"/>
      <c r="AD222" s="87"/>
      <c r="AE222" s="87"/>
      <c r="AF222" s="87"/>
      <c r="AG222" s="66"/>
      <c r="AH222" s="66"/>
      <c r="AI222" s="64"/>
      <c r="AJ222" s="63"/>
      <c r="AK222" s="65"/>
      <c r="AL222" s="66">
        <v>35.6</v>
      </c>
      <c r="AM222" s="301">
        <v>4077</v>
      </c>
      <c r="AN222" s="89">
        <f t="shared" si="202"/>
        <v>60.480000000000004</v>
      </c>
      <c r="AO222" s="488">
        <f t="shared" si="203"/>
        <v>23.363095238095237</v>
      </c>
      <c r="AP222" s="72">
        <v>2269</v>
      </c>
      <c r="AQ222" s="76">
        <f t="shared" si="181"/>
        <v>174568.79062500002</v>
      </c>
      <c r="AR222" s="76">
        <f t="shared" si="195"/>
        <v>1086.2437499999942</v>
      </c>
      <c r="AS222" s="230">
        <f t="shared" si="196"/>
        <v>45.26015624999976</v>
      </c>
      <c r="AT222" s="72">
        <f t="shared" si="208"/>
        <v>632.4738543156426</v>
      </c>
      <c r="AU222" s="66"/>
      <c r="AV222" s="143">
        <f t="shared" si="209"/>
        <v>495.29928491364404</v>
      </c>
      <c r="AW222" s="511">
        <f t="shared" si="157"/>
        <v>0.76874999999999583</v>
      </c>
      <c r="AX222" s="66"/>
      <c r="AY222" s="66"/>
      <c r="AZ222" s="66"/>
      <c r="BA222" s="66"/>
      <c r="BB222" s="66"/>
      <c r="BC222" s="63" t="s">
        <v>150</v>
      </c>
      <c r="BD222" s="64"/>
      <c r="BE222" s="147"/>
      <c r="BF222" s="213"/>
      <c r="BG222" s="65"/>
      <c r="BH222" s="66"/>
      <c r="BI222" s="66"/>
      <c r="BJ222" s="66"/>
      <c r="BK222" s="66"/>
      <c r="BL222" s="86"/>
      <c r="BM222" s="86"/>
      <c r="BN222" s="63"/>
      <c r="BO222" s="87"/>
      <c r="BP222" s="87"/>
      <c r="BQ222" s="87"/>
      <c r="BR222" s="66"/>
      <c r="BS222" s="64"/>
      <c r="BT222" s="66"/>
      <c r="BU222" s="67"/>
      <c r="BV222" s="65"/>
      <c r="BW222" s="66">
        <v>51</v>
      </c>
      <c r="BX222" s="72">
        <v>2330</v>
      </c>
      <c r="BY222" s="443">
        <f t="shared" si="197"/>
        <v>32</v>
      </c>
      <c r="BZ222" s="443">
        <f t="shared" si="198"/>
        <v>23.3125</v>
      </c>
      <c r="CA222" s="72">
        <v>1256</v>
      </c>
      <c r="CB222" s="76">
        <f t="shared" si="182"/>
        <v>96362.675000000003</v>
      </c>
      <c r="CC222" s="289">
        <f t="shared" si="199"/>
        <v>613.28125</v>
      </c>
      <c r="CD222" s="289">
        <f t="shared" si="200"/>
        <v>25.553385416666668</v>
      </c>
      <c r="CE222" s="72">
        <f t="shared" si="210"/>
        <v>638.47993794846502</v>
      </c>
      <c r="CF222" s="66"/>
      <c r="CG222" s="72">
        <f>CC222/(AVERAGE(BY222)*AVERAGE((D$197,D$190,D$206,D$178,D$212,D$213,D$219,D$199,D$204))*0.01)</f>
        <v>517.88843804865473</v>
      </c>
      <c r="CH222" s="433">
        <f t="shared" si="201"/>
        <v>0.82209282841823061</v>
      </c>
      <c r="CI222" s="66"/>
      <c r="CJ222" s="66"/>
      <c r="CK222" s="66"/>
      <c r="CL222" s="66"/>
      <c r="CM222" s="66"/>
      <c r="CN222" s="63" t="s">
        <v>150</v>
      </c>
    </row>
    <row r="223" spans="1:92" s="677" customFormat="1" ht="15">
      <c r="A223" s="378">
        <f t="shared" si="194"/>
        <v>41378</v>
      </c>
      <c r="B223" s="663">
        <f t="shared" si="207"/>
        <v>0.33333333333333331</v>
      </c>
      <c r="C223" s="664">
        <f t="shared" si="174"/>
        <v>24</v>
      </c>
      <c r="D223" s="665"/>
      <c r="E223" s="293"/>
      <c r="F223" s="301"/>
      <c r="G223" s="293"/>
      <c r="H223" s="293"/>
      <c r="I223" s="301"/>
      <c r="J223" s="772"/>
      <c r="K223" s="772"/>
      <c r="L223" s="299"/>
      <c r="M223" s="666"/>
      <c r="N223" s="293"/>
      <c r="O223" s="667"/>
      <c r="P223" s="773"/>
      <c r="Q223" s="774"/>
      <c r="R223" s="775"/>
      <c r="S223" s="666"/>
      <c r="T223" s="666"/>
      <c r="U223" s="666"/>
      <c r="V223" s="665"/>
      <c r="W223" s="293"/>
      <c r="X223" s="490"/>
      <c r="Y223" s="293"/>
      <c r="Z223" s="293"/>
      <c r="AA223" s="666"/>
      <c r="AB223" s="666"/>
      <c r="AC223" s="299"/>
      <c r="AD223" s="778"/>
      <c r="AE223" s="779"/>
      <c r="AF223" s="780"/>
      <c r="AG223" s="776"/>
      <c r="AH223" s="781"/>
      <c r="AI223" s="779"/>
      <c r="AJ223" s="282"/>
      <c r="AK223" s="665"/>
      <c r="AL223" s="293">
        <v>35.6</v>
      </c>
      <c r="AM223" s="301">
        <v>4105</v>
      </c>
      <c r="AN223" s="672">
        <f t="shared" si="202"/>
        <v>60.480000000000004</v>
      </c>
      <c r="AO223" s="673">
        <f t="shared" si="203"/>
        <v>23.363095238095237</v>
      </c>
      <c r="AP223" s="301">
        <v>2288</v>
      </c>
      <c r="AQ223" s="490">
        <f t="shared" si="181"/>
        <v>175715.38125000001</v>
      </c>
      <c r="AR223" s="490">
        <f t="shared" si="195"/>
        <v>1146.5906249999825</v>
      </c>
      <c r="AS223" s="674">
        <f t="shared" si="196"/>
        <v>47.774609374999272</v>
      </c>
      <c r="AT223" s="301">
        <f t="shared" si="208"/>
        <v>667.61129066650506</v>
      </c>
      <c r="AU223" s="776"/>
      <c r="AV223" s="821">
        <f t="shared" si="209"/>
        <v>522.8159118532858</v>
      </c>
      <c r="AW223" s="511">
        <f t="shared" si="157"/>
        <v>0.81145833333332096</v>
      </c>
      <c r="AX223" s="293"/>
      <c r="AY223" s="293"/>
      <c r="AZ223" s="293"/>
      <c r="BA223" s="293"/>
      <c r="BB223" s="293"/>
      <c r="BC223" s="299"/>
      <c r="BD223" s="671"/>
      <c r="BE223" s="296"/>
      <c r="BF223" s="666"/>
      <c r="BG223" s="665"/>
      <c r="BH223" s="293"/>
      <c r="BI223" s="490"/>
      <c r="BJ223" s="293"/>
      <c r="BK223" s="490"/>
      <c r="BL223" s="772"/>
      <c r="BM223" s="772"/>
      <c r="BN223" s="299"/>
      <c r="BO223" s="778"/>
      <c r="BP223" s="779"/>
      <c r="BQ223" s="780"/>
      <c r="BR223" s="776"/>
      <c r="BS223" s="782"/>
      <c r="BT223" s="781"/>
      <c r="BU223" s="783"/>
      <c r="BV223" s="665"/>
      <c r="BW223" s="293">
        <v>51</v>
      </c>
      <c r="BX223" s="301">
        <v>2346</v>
      </c>
      <c r="BY223" s="443">
        <f t="shared" si="197"/>
        <v>32</v>
      </c>
      <c r="BZ223" s="443">
        <f t="shared" si="198"/>
        <v>23.3125</v>
      </c>
      <c r="CA223" s="301">
        <v>1267</v>
      </c>
      <c r="CB223" s="490">
        <f t="shared" si="182"/>
        <v>97037.284375000003</v>
      </c>
      <c r="CC223" s="289">
        <f t="shared" si="199"/>
        <v>674.609375</v>
      </c>
      <c r="CD223" s="289">
        <f t="shared" si="200"/>
        <v>28.108723958333332</v>
      </c>
      <c r="CE223" s="301">
        <f t="shared" si="210"/>
        <v>724.27567961029024</v>
      </c>
      <c r="CF223" s="784"/>
      <c r="CG223" s="301">
        <f>CC223/(AVERAGE(BY223)*AVERAGE((D$197,D$190,D$206,D$178,D$212,D$213,D$219,D$199,D$204))*0.01)</f>
        <v>569.67728185352018</v>
      </c>
      <c r="CH223" s="511">
        <f t="shared" si="201"/>
        <v>0.90430211126005366</v>
      </c>
      <c r="CI223" s="293"/>
      <c r="CJ223" s="293"/>
      <c r="CK223" s="293"/>
      <c r="CL223" s="293"/>
      <c r="CM223" s="293"/>
      <c r="CN223" s="676"/>
    </row>
    <row r="224" spans="1:92" ht="15">
      <c r="A224" s="606">
        <f t="shared" si="194"/>
        <v>41379</v>
      </c>
      <c r="B224" s="307">
        <f t="shared" si="207"/>
        <v>0.33333333333333331</v>
      </c>
      <c r="C224" s="304">
        <f t="shared" si="174"/>
        <v>24</v>
      </c>
      <c r="D224" s="97"/>
      <c r="E224" s="98"/>
      <c r="F224" s="98"/>
      <c r="G224" s="98"/>
      <c r="H224" s="98"/>
      <c r="I224" s="98"/>
      <c r="J224" s="157"/>
      <c r="K224" s="157"/>
      <c r="L224" s="99"/>
      <c r="M224" s="157">
        <v>55</v>
      </c>
      <c r="N224" s="98">
        <v>85</v>
      </c>
      <c r="O224" s="268"/>
      <c r="P224" s="727">
        <f>(N224-M224)*P$1</f>
        <v>285</v>
      </c>
      <c r="Q224" s="728">
        <f>P224/((N224-M224)*N$4)</f>
        <v>1.890923566878981</v>
      </c>
      <c r="R224" s="729">
        <f>10*Q224/(AVERAGE(D219,D213))</f>
        <v>4.5454893434590895</v>
      </c>
      <c r="S224" s="157"/>
      <c r="T224" s="157"/>
      <c r="U224" s="730"/>
      <c r="V224" s="97"/>
      <c r="W224" s="98"/>
      <c r="X224" s="98"/>
      <c r="Y224" s="98"/>
      <c r="Z224" s="98"/>
      <c r="AA224" s="157"/>
      <c r="AB224" s="157"/>
      <c r="AC224" s="99"/>
      <c r="AD224" s="158"/>
      <c r="AE224" s="158"/>
      <c r="AF224" s="158"/>
      <c r="AG224" s="98"/>
      <c r="AH224" s="98"/>
      <c r="AI224" s="156"/>
      <c r="AJ224" s="99"/>
      <c r="AK224" s="97"/>
      <c r="AL224" s="98">
        <v>35.6</v>
      </c>
      <c r="AM224" s="301">
        <v>4133</v>
      </c>
      <c r="AN224" s="89">
        <f>(AM224-AM223)*AQ$1/((C223)/24)</f>
        <v>60.480000000000004</v>
      </c>
      <c r="AO224" s="488">
        <f>AQ$3/AN224</f>
        <v>23.363095238095237</v>
      </c>
      <c r="AP224" s="81">
        <v>2302</v>
      </c>
      <c r="AQ224" s="199">
        <f t="shared" si="181"/>
        <v>176560.23750000002</v>
      </c>
      <c r="AR224" s="76">
        <f>(AQ224-AQ223)/(C224/24)</f>
        <v>844.85625000001164</v>
      </c>
      <c r="AS224" s="230">
        <f>(AQ224-AQ223)/C224</f>
        <v>35.202343750000487</v>
      </c>
      <c r="AT224" s="72">
        <f t="shared" si="208"/>
        <v>491.92410891217594</v>
      </c>
      <c r="AU224" s="98"/>
      <c r="AV224" s="143">
        <f t="shared" si="209"/>
        <v>385.23277715506384</v>
      </c>
      <c r="AW224" s="511">
        <f t="shared" si="157"/>
        <v>0.59791666666667487</v>
      </c>
      <c r="AX224" s="98"/>
      <c r="AY224" s="98"/>
      <c r="AZ224" s="98"/>
      <c r="BA224" s="98"/>
      <c r="BB224" s="98"/>
      <c r="BC224" s="99"/>
      <c r="BD224" s="156"/>
      <c r="BE224" s="206"/>
      <c r="BF224" s="731"/>
      <c r="BG224" s="97"/>
      <c r="BH224" s="98"/>
      <c r="BI224" s="98"/>
      <c r="BJ224" s="98"/>
      <c r="BK224" s="98"/>
      <c r="BL224" s="157"/>
      <c r="BM224" s="157"/>
      <c r="BN224" s="99"/>
      <c r="BO224" s="158"/>
      <c r="BP224" s="158"/>
      <c r="BQ224" s="158"/>
      <c r="BR224" s="98"/>
      <c r="BS224" s="156"/>
      <c r="BT224" s="98"/>
      <c r="BU224" s="100"/>
      <c r="BV224" s="97"/>
      <c r="BW224" s="98">
        <v>51</v>
      </c>
      <c r="BX224" s="81">
        <v>2361</v>
      </c>
      <c r="BY224" s="822">
        <f t="shared" si="197"/>
        <v>30</v>
      </c>
      <c r="BZ224" s="822">
        <f t="shared" si="198"/>
        <v>24.866666666666667</v>
      </c>
      <c r="CA224" s="81">
        <v>1275</v>
      </c>
      <c r="CB224" s="199">
        <f t="shared" si="182"/>
        <v>97527.909375000003</v>
      </c>
      <c r="CC224" s="810">
        <f t="shared" si="199"/>
        <v>490.625</v>
      </c>
      <c r="CD224" s="810">
        <f t="shared" si="200"/>
        <v>20.442708333333332</v>
      </c>
      <c r="CE224" s="81">
        <f t="shared" si="210"/>
        <v>543.73775360772515</v>
      </c>
      <c r="CF224" s="98"/>
      <c r="CG224" s="81">
        <f>CC224/(AVERAGE(BY224)*AVERAGE((D$197,D$190,D$206,D$178,D$212,D$213,D$219,D$199,D$204))*0.01)</f>
        <v>441.93146713485197</v>
      </c>
      <c r="CH224" s="823">
        <f t="shared" si="201"/>
        <v>0.6576742627345844</v>
      </c>
      <c r="CI224" s="98"/>
      <c r="CJ224" s="98"/>
      <c r="CK224" s="98"/>
      <c r="CL224" s="98"/>
      <c r="CM224" s="98"/>
      <c r="CN224" s="123"/>
    </row>
    <row r="225" spans="1:93" s="741" customFormat="1" ht="28.5">
      <c r="A225" s="732">
        <f t="shared" si="194"/>
        <v>41380</v>
      </c>
      <c r="B225" s="310">
        <f t="shared" si="207"/>
        <v>0.33333333333333331</v>
      </c>
      <c r="C225" s="311">
        <f t="shared" si="174"/>
        <v>24</v>
      </c>
      <c r="D225" s="766">
        <v>3.4</v>
      </c>
      <c r="E225" s="767">
        <v>79.27</v>
      </c>
      <c r="F225" s="734"/>
      <c r="G225" s="733">
        <v>6.07</v>
      </c>
      <c r="H225" s="734"/>
      <c r="I225" s="734"/>
      <c r="J225" s="735"/>
      <c r="K225" s="735"/>
      <c r="L225" s="736"/>
      <c r="M225" s="735">
        <v>0</v>
      </c>
      <c r="N225" s="734">
        <v>85</v>
      </c>
      <c r="O225" s="737"/>
      <c r="P225" s="758">
        <f>(N225-M225)*P$2</f>
        <v>1190</v>
      </c>
      <c r="Q225" s="759">
        <f>P225/((N225-M225)*N$4)</f>
        <v>2.7866242038216558</v>
      </c>
      <c r="R225" s="760">
        <f>10*Q225/(AVERAGE(D225,D214))</f>
        <v>8.1959535406519297</v>
      </c>
      <c r="S225" s="735"/>
      <c r="T225" s="735"/>
      <c r="U225" s="735"/>
      <c r="V225" s="743">
        <v>2.3199999999999998</v>
      </c>
      <c r="W225" s="733">
        <v>68.16</v>
      </c>
      <c r="X225" s="734"/>
      <c r="Y225" s="734"/>
      <c r="Z225" s="734"/>
      <c r="AA225" s="735"/>
      <c r="AB225" s="735"/>
      <c r="AC225" s="736"/>
      <c r="AD225" s="752">
        <f>D219*(100-E219)/(100-W225)</f>
        <v>2.3243969849246229</v>
      </c>
      <c r="AE225" s="753">
        <f>D219-V225</f>
        <v>1.1000000000000001</v>
      </c>
      <c r="AF225" s="754">
        <f>100*(AVERAGE(D$199,D$206,D$212,D$204,D$197,D$192,D$219,D$213,D$183,D$190)-V225)/AVERAGE(D$199,D$206,D$212,D$204,D$197,D$192,D$219,D$213,D$183,D$190)</f>
        <v>36.02735989368756</v>
      </c>
      <c r="AG225" s="754">
        <f>100*(1-((100-AVERAGE(E$197,E$206,E$212,E$204,E$199,E$190,E$192,E$213,E$219,E$185))/(100-W225)))</f>
        <v>31.062443628398373</v>
      </c>
      <c r="AH225" s="746">
        <f>E219-W225</f>
        <v>10.200000000000003</v>
      </c>
      <c r="AI225" s="754">
        <f>100*(1-((V225*W225)/(AVERAGE(D$199,D$206,D$212,D$204,D$197,D$192,D$185,D$213,D$219,D$190)*AVERAGE(E$197,E$206,E$212,E$204,E$199,E$190,E$192,E$213,E$219,E$185))))</f>
        <v>44.99825351745794</v>
      </c>
      <c r="AJ225" s="751">
        <f>100*100*((AVERAGE(E$197,E$206,E$212,E$204,E$199,E$190,E$192,E$178,E$219,E$185)-W225)/((100-W225)*AVERAGE(E$197,E$206,E$212,E$204,E$199,E$190,E$192,E$213,E$219,E$185)))</f>
        <v>40.23660067132279</v>
      </c>
      <c r="AK225" s="738">
        <v>7.15</v>
      </c>
      <c r="AL225" s="470">
        <v>34.1</v>
      </c>
      <c r="AM225" s="313">
        <v>4161</v>
      </c>
      <c r="AN225" s="327">
        <f>(AM225-AM224)*AQ$1/((C224)/24)</f>
        <v>60.480000000000004</v>
      </c>
      <c r="AO225" s="489">
        <f>AQ$3/AN225</f>
        <v>23.363095238095237</v>
      </c>
      <c r="AP225" s="740">
        <v>2319</v>
      </c>
      <c r="AQ225" s="740">
        <f t="shared" si="181"/>
        <v>177586.13437500002</v>
      </c>
      <c r="AR225" s="348">
        <f>(AQ225-AQ224)/(C225/24)</f>
        <v>1025.8968750000058</v>
      </c>
      <c r="AS225" s="512">
        <f>(AQ225-AQ224)/C225</f>
        <v>42.74570312500024</v>
      </c>
      <c r="AT225" s="313">
        <f t="shared" si="208"/>
        <v>597.33641796478025</v>
      </c>
      <c r="AU225" s="348">
        <f>(AQ225-AQ196)/(AVERAGE(AN196:AN225)*((AVERAGE(D197,D212,D199,D204,D219,D213,D206,D225)*AVERAGE(E197,E212,E199,E204,E219,E213,E206,E225))-(V225*W225))*0.0001*(SUM(C196:C225)/24))</f>
        <v>1306.2402028813046</v>
      </c>
      <c r="AV225" s="328">
        <f t="shared" si="209"/>
        <v>467.78265797400235</v>
      </c>
      <c r="AW225" s="477">
        <f t="shared" si="157"/>
        <v>0.7260416666666708</v>
      </c>
      <c r="AX225" s="734">
        <v>67</v>
      </c>
      <c r="AY225" s="734">
        <v>32.9</v>
      </c>
      <c r="AZ225" s="734"/>
      <c r="BA225" s="734">
        <v>70</v>
      </c>
      <c r="BB225" s="734">
        <v>120</v>
      </c>
      <c r="BC225" s="762" t="s">
        <v>148</v>
      </c>
      <c r="BD225" s="739"/>
      <c r="BE225" s="734"/>
      <c r="BF225" s="735"/>
      <c r="BG225" s="744">
        <v>2.38</v>
      </c>
      <c r="BH225" s="733">
        <v>67.13</v>
      </c>
      <c r="BI225" s="734"/>
      <c r="BJ225" s="734"/>
      <c r="BK225" s="734"/>
      <c r="BL225" s="735"/>
      <c r="BM225" s="735"/>
      <c r="BN225" s="736"/>
      <c r="BO225" s="745">
        <f>D219*(100-E219)/(100-BH225)</f>
        <v>2.2515606936416179</v>
      </c>
      <c r="BP225" s="746">
        <f>D219-BG225</f>
        <v>1.04</v>
      </c>
      <c r="BQ225" s="747">
        <f>100*(AVERAGE(D$199,(0.95*D$206),D$212,D$204,D$197,D$192,D$190,D$213,D$219,D$185)-BG225)/AVERAGE(D$199,(0.95*D$206),D$212,D$204,D$197,D$192,D$190,D$213,D$219,D$185)</f>
        <v>35.0622835581174</v>
      </c>
      <c r="BR225" s="748">
        <f>100*(1-((100-AVERAGE(E$199,E$206,E$212,E$204,E$197,E$192,E$190,E$213,E$219,E$185))/(100-BH225)))</f>
        <v>33.222640861825504</v>
      </c>
      <c r="BS225" s="749">
        <f>E219-BH225</f>
        <v>11.230000000000004</v>
      </c>
      <c r="BT225" s="750">
        <f>100*(1-((BG225*BH225)/(AVERAGE(D$199,(0.95*D$206),D$212,D$204,D$197,D$192,D$190,D$213,D$219,D$185)*AVERAGE(E$199,E$206,E$212,E$204,E$197,E$192,E$190,E$213,E$219,E$185))))</f>
        <v>44.147941683549959</v>
      </c>
      <c r="BU225" s="751">
        <f>100*100*((AVERAGE(E$199,E$206,E$212,E$204,E$197,E$192,E$190,E$213,E$219,E$185)-BH225)/((100-BH225)*AVERAGE(E$199,E$206,E$212,E$204,E$197,E$192,E$190,E$213,E$219,E$185)))</f>
        <v>42.565689692187078</v>
      </c>
      <c r="BV225" s="738">
        <v>7.35</v>
      </c>
      <c r="BW225" s="733">
        <v>46.6</v>
      </c>
      <c r="BX225" s="740">
        <v>2378</v>
      </c>
      <c r="BY225" s="986">
        <f>(BX225-BX224)*CB$1/((C225)/24)</f>
        <v>34</v>
      </c>
      <c r="BZ225" s="986">
        <f>CB$3/BY225</f>
        <v>21.941176470588236</v>
      </c>
      <c r="CA225" s="740">
        <v>1284</v>
      </c>
      <c r="CB225" s="740">
        <f t="shared" si="182"/>
        <v>98079.862500000003</v>
      </c>
      <c r="CC225" s="987">
        <f>(CB225-CB224)/((C225/24))</f>
        <v>551.953125</v>
      </c>
      <c r="CD225" s="987">
        <f>(CB225-CB224)/(C225)</f>
        <v>22.998046875</v>
      </c>
      <c r="CE225" s="824">
        <f t="shared" si="210"/>
        <v>592.58919240841931</v>
      </c>
      <c r="CF225" s="825">
        <f>(CB225-CB196)/(AVERAGE(BY196:BY225)*((AVERAGE(D212,D199,D206,D213,D219,D225,D204,D197)*AVERAGE(E212,E199,E219,E206,E213,E225,E204,E197))-(BG225*BH225))*0.0001*(SUM(C196:C225)/24))</f>
        <v>1367.0721128695457</v>
      </c>
      <c r="CG225" s="825">
        <f>CC225/(AVERAGE(BY225)*AVERAGE((D$197,D$190,D$206,D$178,D$212,D$213,D$219,D$199,D$204))*0.01)</f>
        <v>438.6819710529781</v>
      </c>
      <c r="CH225" s="988">
        <f t="shared" si="201"/>
        <v>0.73988354557640745</v>
      </c>
      <c r="CI225" s="734">
        <v>67.2</v>
      </c>
      <c r="CJ225" s="734">
        <v>32.700000000000003</v>
      </c>
      <c r="CK225" s="734">
        <v>0</v>
      </c>
      <c r="CL225" s="734">
        <v>53</v>
      </c>
      <c r="CM225" s="734">
        <v>205</v>
      </c>
      <c r="CN225" s="762" t="s">
        <v>148</v>
      </c>
      <c r="CO225" s="741" t="s">
        <v>151</v>
      </c>
    </row>
    <row r="226" spans="1:93">
      <c r="A226" s="141">
        <f t="shared" si="194"/>
        <v>41381</v>
      </c>
      <c r="B226" s="307">
        <f>B225</f>
        <v>0.33333333333333331</v>
      </c>
      <c r="C226" s="304">
        <f t="shared" si="174"/>
        <v>24</v>
      </c>
      <c r="D226" s="65"/>
      <c r="E226" s="66"/>
      <c r="F226" s="66"/>
      <c r="G226" s="66"/>
      <c r="H226" s="66"/>
      <c r="I226" s="66"/>
      <c r="J226" s="86"/>
      <c r="K226" s="86"/>
      <c r="L226" s="63"/>
      <c r="M226" s="86"/>
      <c r="N226" s="66"/>
      <c r="O226" s="265"/>
      <c r="P226" s="65"/>
      <c r="Q226" s="66"/>
      <c r="R226" s="67"/>
      <c r="S226" s="86"/>
      <c r="T226" s="86"/>
      <c r="U226" s="232"/>
      <c r="V226" s="65"/>
      <c r="W226" s="66"/>
      <c r="X226" s="66"/>
      <c r="Y226" s="66"/>
      <c r="Z226" s="66"/>
      <c r="AA226" s="86"/>
      <c r="AB226" s="86"/>
      <c r="AC226" s="63"/>
      <c r="AD226" s="87"/>
      <c r="AE226" s="87"/>
      <c r="AF226" s="87"/>
      <c r="AG226" s="66"/>
      <c r="AH226" s="66"/>
      <c r="AI226" s="64"/>
      <c r="AJ226" s="63"/>
      <c r="AK226" s="65"/>
      <c r="AL226" s="66">
        <v>35.6</v>
      </c>
      <c r="AM226" s="301">
        <v>4189</v>
      </c>
      <c r="AN226" s="89">
        <f t="shared" ref="AN226:AN232" si="211">(AM226-AM225)*AQ$1/((C225)/24)</f>
        <v>60.480000000000004</v>
      </c>
      <c r="AO226" s="488">
        <f t="shared" ref="AO226:AO232" si="212">AQ$3/AN226</f>
        <v>23.363095238095237</v>
      </c>
      <c r="AP226" s="72">
        <v>2336</v>
      </c>
      <c r="AQ226" s="76">
        <f t="shared" si="181"/>
        <v>178612.03125000003</v>
      </c>
      <c r="AR226" s="76">
        <f t="shared" ref="AR226:AR232" si="213">(AQ226-AQ225)/(C226/24)</f>
        <v>1025.8968750000058</v>
      </c>
      <c r="AS226" s="230">
        <f t="shared" ref="AS226:AS232" si="214">(AQ226-AQ225)/C226</f>
        <v>42.74570312500024</v>
      </c>
      <c r="AT226" s="72">
        <f>AR226/(AVERAGE(AN226)*(AVERAGE(D$197,D$225,D$206,D$212,D$213,D$219,D$192,D$199,D$204))*AVERAGE(E$197,E$225,E$206,E$212,E$213,E$219,E$192,E$199,E$204)*0.0001)</f>
        <v>596.21474433499623</v>
      </c>
      <c r="AU226" s="66"/>
      <c r="AV226" s="143">
        <f t="shared" ref="AV226:AV232" si="215">AR226/(AVERAGE(AN226)*AVERAGE(D$197,D$225,D$206,D$212,D$213,D$219,D$192,D$199,D$204)*0.01)</f>
        <v>469.65347180847289</v>
      </c>
      <c r="AW226" s="511">
        <f t="shared" si="157"/>
        <v>0.7260416666666708</v>
      </c>
      <c r="AX226" s="66"/>
      <c r="AY226" s="66"/>
      <c r="AZ226" s="66"/>
      <c r="BA226" s="66"/>
      <c r="BB226" s="66"/>
      <c r="BC226" s="63" t="s">
        <v>146</v>
      </c>
      <c r="BD226" s="64"/>
      <c r="BE226" s="147"/>
      <c r="BF226" s="213"/>
      <c r="BG226" s="65"/>
      <c r="BH226" s="66"/>
      <c r="BI226" s="66"/>
      <c r="BJ226" s="66"/>
      <c r="BK226" s="66"/>
      <c r="BL226" s="86"/>
      <c r="BM226" s="86"/>
      <c r="BN226" s="63"/>
      <c r="BO226" s="87"/>
      <c r="BP226" s="87"/>
      <c r="BQ226" s="87"/>
      <c r="BR226" s="66"/>
      <c r="BS226" s="64"/>
      <c r="BT226" s="66"/>
      <c r="BU226" s="67"/>
      <c r="BV226" s="65"/>
      <c r="BW226" s="66">
        <v>51</v>
      </c>
      <c r="BX226" s="72">
        <v>2393</v>
      </c>
      <c r="BY226" s="443">
        <f t="shared" ref="BY226:BY231" si="216">(BX226-BX225)*CB$1/((C226)/24)</f>
        <v>30</v>
      </c>
      <c r="BZ226" s="443">
        <f t="shared" ref="BZ226:BZ231" si="217">CB$3/BY226</f>
        <v>24.866666666666667</v>
      </c>
      <c r="CA226" s="72">
        <v>1293</v>
      </c>
      <c r="CB226" s="76">
        <f t="shared" si="182"/>
        <v>98631.815625000003</v>
      </c>
      <c r="CC226" s="289">
        <f t="shared" ref="CC226:CC232" si="218">(CB226-CB225)/((C226/24))</f>
        <v>551.953125</v>
      </c>
      <c r="CD226" s="289">
        <f t="shared" ref="CD226:CD232" si="219">(CB226-CB225)/(C226)</f>
        <v>22.998046875</v>
      </c>
      <c r="CE226" s="761">
        <f>CC226/(AVERAGE(BY225,BY226)*(AVERAGE(D$197,D$190,D$206,D$225,D$212,D$213,D$219,D$199,D$204))*AVERAGE(E$197,E$190,E$206,E$225,E$212,E$213,E$219,E$199,E$204)*0.0001)</f>
        <v>604.60118806036007</v>
      </c>
      <c r="CF226" s="66"/>
      <c r="CG226" s="72">
        <f>CC226/(AVERAGE(BY226)*AVERAGE((D$197,D$190,D$206,D$225,D$212,D$213,D$219,D$199,D$204))*0.01)</f>
        <v>507.37975527739428</v>
      </c>
      <c r="CH226" s="433">
        <f t="shared" si="201"/>
        <v>0.73988354557640745</v>
      </c>
      <c r="CI226" s="66"/>
      <c r="CJ226" s="66"/>
      <c r="CK226" s="66"/>
      <c r="CL226" s="66"/>
      <c r="CM226" s="66"/>
      <c r="CN226" s="110" t="s">
        <v>146</v>
      </c>
    </row>
    <row r="227" spans="1:93" s="337" customFormat="1" ht="15">
      <c r="A227" s="309">
        <f t="shared" si="194"/>
        <v>41382</v>
      </c>
      <c r="B227" s="310">
        <f t="shared" ref="B227:B232" si="220">B226</f>
        <v>0.33333333333333331</v>
      </c>
      <c r="C227" s="311">
        <f t="shared" si="174"/>
        <v>24</v>
      </c>
      <c r="D227" s="318">
        <v>3.2</v>
      </c>
      <c r="E227" s="319">
        <v>78.2</v>
      </c>
      <c r="F227" s="313">
        <v>43700</v>
      </c>
      <c r="G227" s="319"/>
      <c r="H227" s="319"/>
      <c r="I227" s="313">
        <v>3133</v>
      </c>
      <c r="J227" s="315"/>
      <c r="K227" s="315"/>
      <c r="L227" s="320"/>
      <c r="M227" s="317">
        <v>55</v>
      </c>
      <c r="N227" s="319">
        <v>85</v>
      </c>
      <c r="O227" s="472"/>
      <c r="P227" s="763">
        <f>(N227-M227)*P$2</f>
        <v>420</v>
      </c>
      <c r="Q227" s="764">
        <f>P227/((N227-M227)*N$4)</f>
        <v>2.7866242038216562</v>
      </c>
      <c r="R227" s="765">
        <f>10*Q227/(AVERAGE(D225,D214))</f>
        <v>8.1959535406519297</v>
      </c>
      <c r="S227" s="534"/>
      <c r="T227" s="534"/>
      <c r="U227" s="317"/>
      <c r="V227" s="318">
        <v>2.4</v>
      </c>
      <c r="W227" s="319">
        <v>67.400000000000006</v>
      </c>
      <c r="X227" s="348">
        <v>25200</v>
      </c>
      <c r="Y227" s="319"/>
      <c r="Z227" s="348">
        <v>1762</v>
      </c>
      <c r="AA227" s="317"/>
      <c r="AB227" s="317"/>
      <c r="AC227" s="320"/>
      <c r="AD227" s="752">
        <f>D219*(100-E219)/(100-W227)</f>
        <v>2.2702085889570554</v>
      </c>
      <c r="AE227" s="753">
        <f>D219-V227</f>
        <v>1.02</v>
      </c>
      <c r="AF227" s="754">
        <f>100*(AVERAGE(D$199,D$206,D$212,D$204,D$197,D$192,D$219,D$213,D$225,D$190)-V227)/AVERAGE(D$199,D$206,D$212,D$204,D$197,D$192,D$219,D$213,D$225,D$190)</f>
        <v>33.399015672671339</v>
      </c>
      <c r="AG227" s="754">
        <f>100*(1-((100-AVERAGE(E$197,E$206,E$212,E$204,E$199,E$190,E$192,E$213,E$219,E$225))/(100-W227)))</f>
        <v>33.764668868963298</v>
      </c>
      <c r="AH227" s="746">
        <f>E219-W227</f>
        <v>10.959999999999994</v>
      </c>
      <c r="AI227" s="754">
        <f>100*(1-((V227*W227)/(AVERAGE(D$199,D$206,D$212,D$204,D$197,D$192,D$225,D$213,D$219,D$190)*AVERAGE(E$197,E$206,E$212,E$204,E$199,E$190,E$192,E$213,E$219,E$225))))</f>
        <v>42.748859210219827</v>
      </c>
      <c r="AJ227" s="751">
        <f>100*100*((AVERAGE(E$197,E$206,E$212,E$204,E$199,E$190,E$192,E$178,E$219,E$225)-W227)/((100-W227)*AVERAGE(E$197,E$206,E$212,E$204,E$199,E$190,E$192,E$213,E$219,E$225)))</f>
        <v>43.489614491268583</v>
      </c>
      <c r="AK227" s="318"/>
      <c r="AL227" s="319">
        <v>35.700000000000003</v>
      </c>
      <c r="AM227" s="313">
        <v>4217</v>
      </c>
      <c r="AN227" s="327">
        <f t="shared" si="211"/>
        <v>60.480000000000004</v>
      </c>
      <c r="AO227" s="489">
        <f t="shared" si="212"/>
        <v>23.363095238095237</v>
      </c>
      <c r="AP227" s="313">
        <v>2353</v>
      </c>
      <c r="AQ227" s="348">
        <f t="shared" si="181"/>
        <v>179637.92812500001</v>
      </c>
      <c r="AR227" s="348">
        <f t="shared" si="213"/>
        <v>1025.8968749999767</v>
      </c>
      <c r="AS227" s="512">
        <f t="shared" si="214"/>
        <v>42.745703124999032</v>
      </c>
      <c r="AT227" s="72">
        <f>AR227/(AVERAGE(AN227)*(AVERAGE(D$197,D$225,D$206,D$212,D$213,D$219,D$192,D$199,D$204))*AVERAGE(E$197,E$225,E$206,E$212,E$213,E$219,E$192,E$199,E$204)*0.0001)</f>
        <v>596.21474433497929</v>
      </c>
      <c r="AU227" s="348">
        <f>(AQ227-AQ198)/(AVERAGE(AN198:AN227)*((AVERAGE(D199,D212,D197,D206,D219,D213,D204,D225)*AVERAGE(E199,E212,E197,E206,E219,E213,E204,E225))-(V227*W227))*0.0001*(SUM(C198:C227)/24))</f>
        <v>1339.0574031940114</v>
      </c>
      <c r="AV227" s="143">
        <f t="shared" si="215"/>
        <v>469.65347180845959</v>
      </c>
      <c r="AW227" s="477">
        <f t="shared" ref="AW227:AW290" si="221">AR227/AQ$3</f>
        <v>0.72604166666665015</v>
      </c>
      <c r="AX227" s="319"/>
      <c r="AY227" s="319"/>
      <c r="AZ227" s="319"/>
      <c r="BA227" s="319"/>
      <c r="BB227" s="319"/>
      <c r="BC227" s="320"/>
      <c r="BD227" s="368"/>
      <c r="BE227" s="330"/>
      <c r="BF227" s="317"/>
      <c r="BG227" s="318">
        <v>2.4</v>
      </c>
      <c r="BH227" s="319">
        <v>65.2</v>
      </c>
      <c r="BI227" s="348">
        <v>26300</v>
      </c>
      <c r="BJ227" s="319"/>
      <c r="BK227" s="348">
        <v>2787</v>
      </c>
      <c r="BL227" s="315"/>
      <c r="BM227" s="315"/>
      <c r="BN227" s="320"/>
      <c r="BO227" s="745">
        <f>D219*(100-E219)/(100-BH227)</f>
        <v>2.1266896551724139</v>
      </c>
      <c r="BP227" s="746">
        <f>D219-BG227</f>
        <v>1.02</v>
      </c>
      <c r="BQ227" s="747">
        <f>100*(AVERAGE(D$199,(0.95*D$206),D$212,D$204,D$197,D$192,D$190,D$213,D$219,D$225)-BG227)/AVERAGE(D$199,(0.95*D$206),D$212,D$204,D$197,D$192,D$190,D$213,D$219,D$225)</f>
        <v>33.055333411128636</v>
      </c>
      <c r="BR227" s="748">
        <f>100*(1-((100-AVERAGE(E$199,E$206,E$212,E$204,E$197,E$192,E$190,E$213,E$219,E$225))/(100-BH227)))</f>
        <v>37.951959917477119</v>
      </c>
      <c r="BS227" s="749">
        <f>E219-BH227</f>
        <v>13.159999999999997</v>
      </c>
      <c r="BT227" s="750">
        <f>100*(1-((BG227*BH227)/(AVERAGE(D$199,(0.95*D$206),D$212,D$204,D$197,D$192,D$190,D$213,D$219,D$225)*AVERAGE(E$199,E$206,E$212,E$204,E$197,E$192,E$190,E$213,E$219,E$225))))</f>
        <v>44.331799962921373</v>
      </c>
      <c r="BU227" s="751">
        <f>100*100*((AVERAGE(E$199,E$206,E$212,E$204,E$197,E$192,E$190,E$213,E$219,E$225)-BH227)/((100-BH227)*AVERAGE(E$199,E$206,E$212,E$204,E$197,E$192,E$190,E$213,E$219,E$225)))</f>
        <v>48.403616251682799</v>
      </c>
      <c r="BV227" s="318"/>
      <c r="BW227" s="319">
        <v>51</v>
      </c>
      <c r="BX227" s="313">
        <v>2409</v>
      </c>
      <c r="BY227" s="462">
        <f t="shared" si="216"/>
        <v>32</v>
      </c>
      <c r="BZ227" s="462">
        <f t="shared" si="217"/>
        <v>23.3125</v>
      </c>
      <c r="CA227" s="313">
        <v>1302</v>
      </c>
      <c r="CB227" s="348">
        <f t="shared" si="182"/>
        <v>99183.768750000003</v>
      </c>
      <c r="CC227" s="334">
        <f t="shared" si="218"/>
        <v>551.953125</v>
      </c>
      <c r="CD227" s="334">
        <f t="shared" si="219"/>
        <v>22.998046875</v>
      </c>
      <c r="CE227" s="756">
        <f>CC227/(AVERAGE(BY226,BY227)*(AVERAGE(D$197,D$190,D$206,D$225,D$212,D$213,D$219,D$199,D$204))*AVERAGE(E$197,E$190,E$206,E$225,E$212,E$213,E$219,E$199,E$204)*0.0001)</f>
        <v>624.10445219133953</v>
      </c>
      <c r="CF227" s="313">
        <f>(CB227-CB198)/(AVERAGE(BY198:BY227)*((AVERAGE(D212,D197,D204,D213,D219,D225,D206,D199)*AVERAGE(E212,E197,E219,E204,E213,E225,E206,E199))-(BG227*BH227))*0.0001*(SUM(C198:C227)/24))</f>
        <v>1334.9371759844869</v>
      </c>
      <c r="CG227" s="313">
        <f>CC227/(AVERAGE(BY227)*AVERAGE((D$197,D$190,D$206,D$225,D$212,D$213,D$219,D$199,D$204))*0.01)</f>
        <v>475.66852057255716</v>
      </c>
      <c r="CH227" s="477">
        <f t="shared" si="201"/>
        <v>0.73988354557640745</v>
      </c>
      <c r="CI227" s="319"/>
      <c r="CJ227" s="319"/>
      <c r="CK227" s="319"/>
      <c r="CL227" s="319"/>
      <c r="CM227" s="319"/>
      <c r="CN227" s="442"/>
    </row>
    <row r="228" spans="1:93">
      <c r="A228" s="141">
        <f t="shared" si="194"/>
        <v>41383</v>
      </c>
      <c r="B228" s="307">
        <f t="shared" si="220"/>
        <v>0.33333333333333331</v>
      </c>
      <c r="C228" s="304">
        <f t="shared" si="174"/>
        <v>24</v>
      </c>
      <c r="D228" s="65"/>
      <c r="E228" s="66"/>
      <c r="F228" s="66"/>
      <c r="G228" s="66"/>
      <c r="H228" s="66"/>
      <c r="I228" s="66"/>
      <c r="J228" s="86"/>
      <c r="K228" s="86"/>
      <c r="L228" s="63"/>
      <c r="M228" s="86"/>
      <c r="N228" s="66"/>
      <c r="O228" s="265"/>
      <c r="P228" s="65"/>
      <c r="Q228" s="66"/>
      <c r="R228" s="67"/>
      <c r="S228" s="86"/>
      <c r="T228" s="86"/>
      <c r="U228" s="232"/>
      <c r="V228" s="65"/>
      <c r="W228" s="66"/>
      <c r="X228" s="66"/>
      <c r="Y228" s="66"/>
      <c r="Z228" s="66"/>
      <c r="AA228" s="86"/>
      <c r="AB228" s="86"/>
      <c r="AC228" s="63"/>
      <c r="AD228" s="87"/>
      <c r="AE228" s="87"/>
      <c r="AF228" s="87"/>
      <c r="AG228" s="66"/>
      <c r="AH228" s="66"/>
      <c r="AI228" s="64"/>
      <c r="AJ228" s="63"/>
      <c r="AK228" s="65"/>
      <c r="AL228" s="66">
        <v>35.6</v>
      </c>
      <c r="AM228" s="301">
        <v>4245</v>
      </c>
      <c r="AN228" s="89">
        <f t="shared" si="211"/>
        <v>60.480000000000004</v>
      </c>
      <c r="AO228" s="488">
        <f t="shared" si="212"/>
        <v>23.363095238095237</v>
      </c>
      <c r="AP228" s="72">
        <v>2371</v>
      </c>
      <c r="AQ228" s="76">
        <f t="shared" si="181"/>
        <v>180724.17187500003</v>
      </c>
      <c r="AR228" s="76">
        <f t="shared" si="213"/>
        <v>1086.2437500000233</v>
      </c>
      <c r="AS228" s="230">
        <f t="shared" si="214"/>
        <v>45.260156250000968</v>
      </c>
      <c r="AT228" s="72">
        <f>AR228/(AVERAGE(AN228)*(AVERAGE(D$197,D$225,D$206,D$212,D$213,D$219,D$227,D$199,D$204))*AVERAGE(E$197,E$225,E$206,E$212,E$213,E$219,E$227,E$199,E$204)*0.0001)</f>
        <v>633.22940935630595</v>
      </c>
      <c r="AU228" s="66"/>
      <c r="AV228" s="143">
        <f t="shared" si="215"/>
        <v>497.28014662074384</v>
      </c>
      <c r="AW228" s="511">
        <f t="shared" si="221"/>
        <v>0.76875000000001648</v>
      </c>
      <c r="AX228" s="66"/>
      <c r="AY228" s="66"/>
      <c r="AZ228" s="66"/>
      <c r="BA228" s="66"/>
      <c r="BB228" s="66"/>
      <c r="BC228" s="63"/>
      <c r="BD228" s="64"/>
      <c r="BE228" s="147"/>
      <c r="BF228" s="213"/>
      <c r="BG228" s="65"/>
      <c r="BH228" s="66"/>
      <c r="BI228" s="66"/>
      <c r="BJ228" s="66"/>
      <c r="BK228" s="66"/>
      <c r="BL228" s="86"/>
      <c r="BM228" s="86"/>
      <c r="BN228" s="63"/>
      <c r="BO228" s="87"/>
      <c r="BP228" s="87"/>
      <c r="BQ228" s="87"/>
      <c r="BR228" s="66"/>
      <c r="BS228" s="64"/>
      <c r="BT228" s="66"/>
      <c r="BU228" s="67"/>
      <c r="BV228" s="65"/>
      <c r="BW228" s="66">
        <v>51</v>
      </c>
      <c r="BX228" s="72">
        <v>2426</v>
      </c>
      <c r="BY228" s="443">
        <f t="shared" si="216"/>
        <v>34</v>
      </c>
      <c r="BZ228" s="443">
        <f t="shared" si="217"/>
        <v>21.941176470588236</v>
      </c>
      <c r="CA228" s="72">
        <v>1312</v>
      </c>
      <c r="CB228" s="76">
        <f t="shared" si="182"/>
        <v>99797.05</v>
      </c>
      <c r="CC228" s="289">
        <f t="shared" si="218"/>
        <v>613.28125</v>
      </c>
      <c r="CD228" s="289">
        <f t="shared" si="219"/>
        <v>25.553385416666668</v>
      </c>
      <c r="CE228" s="761">
        <f>CC228/(AVERAGE(BY227,BY228)*(AVERAGE(D$197,D$227,D$206,D$225,D$212,D$213,D$219,D$199,D$204))*AVERAGE(E$197,E$227,E$206,E$225,E$212,E$213,E$219,E$199,E$204)*0.0001)</f>
        <v>655.22629201685834</v>
      </c>
      <c r="CF228" s="66"/>
      <c r="CG228" s="72">
        <f>CC228/(AVERAGE(BY228)*AVERAGE((D$197,D$190,D$206,D$227,D$212,D$213,D$219,D$199,D$204))*0.01)</f>
        <v>500.49833417770731</v>
      </c>
      <c r="CH228" s="433">
        <f t="shared" si="201"/>
        <v>0.82209282841823061</v>
      </c>
      <c r="CI228" s="66"/>
      <c r="CJ228" s="66"/>
      <c r="CK228" s="66"/>
      <c r="CL228" s="66"/>
      <c r="CM228" s="66"/>
      <c r="CN228" s="110"/>
    </row>
    <row r="229" spans="1:93" ht="15">
      <c r="A229" s="141">
        <f t="shared" si="194"/>
        <v>41384</v>
      </c>
      <c r="B229" s="307">
        <f t="shared" si="220"/>
        <v>0.33333333333333331</v>
      </c>
      <c r="C229" s="304">
        <f t="shared" si="174"/>
        <v>24</v>
      </c>
      <c r="D229" s="65"/>
      <c r="E229" s="66"/>
      <c r="F229" s="66"/>
      <c r="G229" s="66"/>
      <c r="H229" s="66"/>
      <c r="I229" s="66"/>
      <c r="J229" s="86"/>
      <c r="K229" s="86"/>
      <c r="L229" s="63"/>
      <c r="M229" s="86">
        <v>55</v>
      </c>
      <c r="N229" s="66">
        <v>85</v>
      </c>
      <c r="O229" s="265"/>
      <c r="P229" s="224">
        <f>(N229-M229)*P$2</f>
        <v>420</v>
      </c>
      <c r="Q229" s="210">
        <f>P229/((N229-M229)*N$4)</f>
        <v>2.7866242038216562</v>
      </c>
      <c r="R229" s="225">
        <f>10*Q229/(AVERAGE(D225,D216))</f>
        <v>8.1959535406519297</v>
      </c>
      <c r="S229" s="86"/>
      <c r="T229" s="86"/>
      <c r="U229" s="86"/>
      <c r="V229" s="65"/>
      <c r="W229" s="66"/>
      <c r="X229" s="66"/>
      <c r="Y229" s="66"/>
      <c r="Z229" s="66"/>
      <c r="AA229" s="86"/>
      <c r="AB229" s="86"/>
      <c r="AC229" s="63"/>
      <c r="AD229" s="87"/>
      <c r="AE229" s="87"/>
      <c r="AF229" s="87"/>
      <c r="AG229" s="66"/>
      <c r="AH229" s="66"/>
      <c r="AI229" s="64"/>
      <c r="AJ229" s="63"/>
      <c r="AK229" s="65"/>
      <c r="AL229" s="66">
        <v>35.4</v>
      </c>
      <c r="AM229" s="301">
        <v>4273</v>
      </c>
      <c r="AN229" s="89">
        <f t="shared" si="211"/>
        <v>60.480000000000004</v>
      </c>
      <c r="AO229" s="488">
        <f t="shared" si="212"/>
        <v>23.363095238095237</v>
      </c>
      <c r="AP229" s="72">
        <v>2389</v>
      </c>
      <c r="AQ229" s="76">
        <f t="shared" si="181"/>
        <v>181810.41562500002</v>
      </c>
      <c r="AR229" s="76">
        <f t="shared" si="213"/>
        <v>1086.2437499999942</v>
      </c>
      <c r="AS229" s="230">
        <f t="shared" si="214"/>
        <v>45.26015624999976</v>
      </c>
      <c r="AT229" s="72">
        <f>AR229/(AVERAGE(AN229)*(AVERAGE(D$197,D$225,D$206,D$212,D$213,D$219,D$227,D$199,D$204))*AVERAGE(E$197,E$225,E$206,E$212,E$213,E$219,E$227,E$199,E$204)*0.0001)</f>
        <v>633.22940935628901</v>
      </c>
      <c r="AU229" s="66"/>
      <c r="AV229" s="143">
        <f t="shared" si="215"/>
        <v>497.28014662073053</v>
      </c>
      <c r="AW229" s="511">
        <f t="shared" si="221"/>
        <v>0.76874999999999583</v>
      </c>
      <c r="AX229" s="66"/>
      <c r="AY229" s="66"/>
      <c r="AZ229" s="66"/>
      <c r="BA229" s="66"/>
      <c r="BB229" s="66"/>
      <c r="BC229" s="63"/>
      <c r="BD229" s="64"/>
      <c r="BE229" s="147"/>
      <c r="BF229" s="232"/>
      <c r="BG229" s="65"/>
      <c r="BH229" s="66"/>
      <c r="BI229" s="66"/>
      <c r="BJ229" s="66"/>
      <c r="BK229" s="66"/>
      <c r="BL229" s="86"/>
      <c r="BM229" s="86"/>
      <c r="BN229" s="63"/>
      <c r="BO229" s="87"/>
      <c r="BP229" s="87"/>
      <c r="BQ229" s="87"/>
      <c r="BR229" s="66"/>
      <c r="BS229" s="64"/>
      <c r="BT229" s="66"/>
      <c r="BU229" s="67"/>
      <c r="BV229" s="65"/>
      <c r="BW229" s="66">
        <v>50.9</v>
      </c>
      <c r="BX229" s="72">
        <v>2442</v>
      </c>
      <c r="BY229" s="443">
        <f t="shared" si="216"/>
        <v>32</v>
      </c>
      <c r="BZ229" s="443">
        <f t="shared" si="217"/>
        <v>23.3125</v>
      </c>
      <c r="CA229" s="72">
        <v>1321</v>
      </c>
      <c r="CB229" s="76">
        <f t="shared" si="182"/>
        <v>100349.003125</v>
      </c>
      <c r="CC229" s="289">
        <f t="shared" si="218"/>
        <v>551.953125</v>
      </c>
      <c r="CD229" s="289">
        <f t="shared" si="219"/>
        <v>22.998046875</v>
      </c>
      <c r="CE229" s="761">
        <f>CC229/(AVERAGE(BY228,BY229)*(AVERAGE(D$197,D$227,D$206,D$225,D$212,D$213,D$219,D$199,D$204))*AVERAGE(E$197,E$227,E$206,E$225,E$212,E$213,E$219,E$199,E$204)*0.0001)</f>
        <v>589.70366281517249</v>
      </c>
      <c r="CF229" s="66"/>
      <c r="CG229" s="72">
        <f>CC229/(AVERAGE(BY229)*AVERAGE((D$197,D$190,D$206,D$227,D$212,D$213,D$219,D$199,D$204))*0.01)</f>
        <v>478.60153205743256</v>
      </c>
      <c r="CH229" s="433">
        <f t="shared" si="201"/>
        <v>0.73988354557640745</v>
      </c>
      <c r="CI229" s="66"/>
      <c r="CJ229" s="66"/>
      <c r="CK229" s="66"/>
      <c r="CL229" s="66"/>
      <c r="CM229" s="66"/>
      <c r="CN229" s="110"/>
    </row>
    <row r="230" spans="1:93" ht="15">
      <c r="A230" s="141">
        <f t="shared" si="194"/>
        <v>41385</v>
      </c>
      <c r="B230" s="307">
        <f t="shared" si="220"/>
        <v>0.33333333333333331</v>
      </c>
      <c r="C230" s="304">
        <f t="shared" si="174"/>
        <v>24</v>
      </c>
      <c r="D230" s="65"/>
      <c r="E230" s="66"/>
      <c r="F230" s="66"/>
      <c r="G230" s="66"/>
      <c r="H230" s="66"/>
      <c r="I230" s="66"/>
      <c r="J230" s="86"/>
      <c r="K230" s="86"/>
      <c r="L230" s="63"/>
      <c r="M230" s="86"/>
      <c r="N230" s="66"/>
      <c r="O230" s="265"/>
      <c r="P230" s="224"/>
      <c r="Q230" s="210"/>
      <c r="R230" s="225"/>
      <c r="S230" s="86"/>
      <c r="T230" s="86"/>
      <c r="U230" s="232"/>
      <c r="V230" s="65"/>
      <c r="W230" s="66"/>
      <c r="X230" s="66"/>
      <c r="Y230" s="66"/>
      <c r="Z230" s="66"/>
      <c r="AA230" s="86"/>
      <c r="AB230" s="86"/>
      <c r="AC230" s="63"/>
      <c r="AD230" s="87"/>
      <c r="AE230" s="87"/>
      <c r="AF230" s="87"/>
      <c r="AG230" s="66"/>
      <c r="AH230" s="66"/>
      <c r="AI230" s="64"/>
      <c r="AJ230" s="63"/>
      <c r="AK230" s="65"/>
      <c r="AL230" s="66">
        <v>35.700000000000003</v>
      </c>
      <c r="AM230" s="301">
        <v>4301</v>
      </c>
      <c r="AN230" s="89">
        <f t="shared" si="211"/>
        <v>60.480000000000004</v>
      </c>
      <c r="AO230" s="488">
        <f t="shared" si="212"/>
        <v>23.363095238095237</v>
      </c>
      <c r="AP230" s="72">
        <v>2407</v>
      </c>
      <c r="AQ230" s="76">
        <f t="shared" si="181"/>
        <v>182896.65937500002</v>
      </c>
      <c r="AR230" s="76">
        <f t="shared" si="213"/>
        <v>1086.2437499999942</v>
      </c>
      <c r="AS230" s="230">
        <f t="shared" si="214"/>
        <v>45.26015624999976</v>
      </c>
      <c r="AT230" s="72">
        <f>AR230/(AVERAGE(AN230)*(AVERAGE(D$197,D$225,D$206,D$212,D$213,D$219,D$227,D$199,D$204))*AVERAGE(E$197,E$225,E$206,E$212,E$213,E$219,E$227,E$199,E$204)*0.0001)</f>
        <v>633.22940935628901</v>
      </c>
      <c r="AU230" s="66"/>
      <c r="AV230" s="143">
        <f t="shared" si="215"/>
        <v>497.28014662073053</v>
      </c>
      <c r="AW230" s="511">
        <f t="shared" si="221"/>
        <v>0.76874999999999583</v>
      </c>
      <c r="AX230" s="66"/>
      <c r="AY230" s="66"/>
      <c r="AZ230" s="66"/>
      <c r="BA230" s="66"/>
      <c r="BB230" s="66"/>
      <c r="BC230" s="63"/>
      <c r="BD230" s="64"/>
      <c r="BE230" s="147"/>
      <c r="BF230" s="232"/>
      <c r="BG230" s="65"/>
      <c r="BH230" s="66"/>
      <c r="BI230" s="66"/>
      <c r="BJ230" s="66"/>
      <c r="BK230" s="66"/>
      <c r="BL230" s="86"/>
      <c r="BM230" s="86"/>
      <c r="BN230" s="63"/>
      <c r="BO230" s="87"/>
      <c r="BP230" s="87"/>
      <c r="BQ230" s="87"/>
      <c r="BR230" s="66"/>
      <c r="BS230" s="64"/>
      <c r="BT230" s="66"/>
      <c r="BU230" s="67"/>
      <c r="BV230" s="65"/>
      <c r="BW230" s="66">
        <v>51</v>
      </c>
      <c r="BX230" s="72">
        <v>2458</v>
      </c>
      <c r="BY230" s="443">
        <f t="shared" si="216"/>
        <v>32</v>
      </c>
      <c r="BZ230" s="443">
        <f t="shared" si="217"/>
        <v>23.3125</v>
      </c>
      <c r="CA230" s="72">
        <v>1331</v>
      </c>
      <c r="CB230" s="76">
        <f t="shared" si="182"/>
        <v>100962.284375</v>
      </c>
      <c r="CC230" s="289">
        <f t="shared" si="218"/>
        <v>613.28125</v>
      </c>
      <c r="CD230" s="289">
        <f t="shared" si="219"/>
        <v>25.553385416666668</v>
      </c>
      <c r="CE230" s="761">
        <f>CC230/(AVERAGE(BY229,BY230)*(AVERAGE(D$197,D$227,D$206,D$225,D$212,D$213,D$219,D$199,D$204))*AVERAGE(E$197,E$227,E$206,E$225,E$212,E$213,E$219,E$199,E$204)*0.0001)</f>
        <v>675.70211364238503</v>
      </c>
      <c r="CF230" s="66"/>
      <c r="CG230" s="72">
        <f>CC230/(AVERAGE(BY230)*AVERAGE((D$197,D$190,D$206,D$227,D$212,D$213,D$219,D$199,D$204))*0.01)</f>
        <v>531.77948006381393</v>
      </c>
      <c r="CH230" s="433">
        <f t="shared" si="201"/>
        <v>0.82209282841823061</v>
      </c>
      <c r="CI230" s="66"/>
      <c r="CJ230" s="66"/>
      <c r="CK230" s="66"/>
      <c r="CL230" s="66"/>
      <c r="CM230" s="66"/>
      <c r="CN230" s="110" t="s">
        <v>150</v>
      </c>
    </row>
    <row r="231" spans="1:93" ht="15">
      <c r="A231" s="141">
        <f t="shared" si="194"/>
        <v>41386</v>
      </c>
      <c r="B231" s="307">
        <f t="shared" si="220"/>
        <v>0.33333333333333331</v>
      </c>
      <c r="C231" s="304">
        <f t="shared" si="174"/>
        <v>24</v>
      </c>
      <c r="D231" s="65"/>
      <c r="E231" s="66"/>
      <c r="F231" s="66"/>
      <c r="G231" s="66"/>
      <c r="H231" s="66"/>
      <c r="I231" s="66"/>
      <c r="J231" s="86"/>
      <c r="K231" s="86"/>
      <c r="L231" s="63"/>
      <c r="M231" s="86">
        <v>55</v>
      </c>
      <c r="N231" s="66">
        <v>85</v>
      </c>
      <c r="O231" s="265"/>
      <c r="P231" s="224">
        <f>(N231-M231)*P$2</f>
        <v>420</v>
      </c>
      <c r="Q231" s="210">
        <f>P231/((N231-M231)*N$4)</f>
        <v>2.7866242038216562</v>
      </c>
      <c r="R231" s="225">
        <f>10*Q231/(AVERAGE(D225,D218))</f>
        <v>8.1959535406519297</v>
      </c>
      <c r="S231" s="86"/>
      <c r="T231" s="86"/>
      <c r="U231" s="213"/>
      <c r="V231" s="65"/>
      <c r="W231" s="66"/>
      <c r="X231" s="66"/>
      <c r="Y231" s="66"/>
      <c r="Z231" s="66"/>
      <c r="AA231" s="86"/>
      <c r="AB231" s="86"/>
      <c r="AC231" s="63"/>
      <c r="AD231" s="87"/>
      <c r="AE231" s="87"/>
      <c r="AF231" s="87"/>
      <c r="AG231" s="66"/>
      <c r="AH231" s="66"/>
      <c r="AI231" s="64"/>
      <c r="AJ231" s="63"/>
      <c r="AK231" s="65"/>
      <c r="AL231" s="66">
        <v>35.6</v>
      </c>
      <c r="AM231" s="301">
        <v>4329</v>
      </c>
      <c r="AN231" s="89">
        <f t="shared" si="211"/>
        <v>60.480000000000004</v>
      </c>
      <c r="AO231" s="488">
        <f t="shared" si="212"/>
        <v>23.363095238095237</v>
      </c>
      <c r="AP231" s="72">
        <v>2426</v>
      </c>
      <c r="AQ231" s="76">
        <f t="shared" si="181"/>
        <v>184043.25000000003</v>
      </c>
      <c r="AR231" s="76">
        <f t="shared" si="213"/>
        <v>1146.5906250000116</v>
      </c>
      <c r="AS231" s="230">
        <f t="shared" si="214"/>
        <v>47.774609375000487</v>
      </c>
      <c r="AT231" s="72">
        <f>AR231/(AVERAGE(AN231)*(AVERAGE(D$197,D$225,D$206,D$212,D$213,D$219,D$227,D$199,D$204))*AVERAGE(E$197,E$225,E$206,E$212,E$213,E$219,E$227,E$199,E$204)*0.0001)</f>
        <v>668.40882098720431</v>
      </c>
      <c r="AU231" s="66"/>
      <c r="AV231" s="143">
        <f t="shared" si="215"/>
        <v>524.90682143300148</v>
      </c>
      <c r="AW231" s="511">
        <f t="shared" si="221"/>
        <v>0.81145833333334161</v>
      </c>
      <c r="AX231" s="66"/>
      <c r="AY231" s="66"/>
      <c r="AZ231" s="66"/>
      <c r="BA231" s="66"/>
      <c r="BB231" s="66"/>
      <c r="BC231" s="110" t="s">
        <v>150</v>
      </c>
      <c r="BD231" s="64"/>
      <c r="BE231" s="147"/>
      <c r="BF231" s="232"/>
      <c r="BG231" s="65"/>
      <c r="BH231" s="66"/>
      <c r="BI231" s="66"/>
      <c r="BJ231" s="66"/>
      <c r="BK231" s="66"/>
      <c r="BL231" s="86"/>
      <c r="BM231" s="86"/>
      <c r="BN231" s="63"/>
      <c r="BO231" s="87"/>
      <c r="BP231" s="87"/>
      <c r="BQ231" s="87"/>
      <c r="BR231" s="66"/>
      <c r="BS231" s="64"/>
      <c r="BT231" s="66"/>
      <c r="BU231" s="67"/>
      <c r="BV231" s="65"/>
      <c r="BW231" s="66">
        <v>50.9</v>
      </c>
      <c r="BX231" s="72">
        <v>2474</v>
      </c>
      <c r="BY231" s="443">
        <f t="shared" si="216"/>
        <v>32</v>
      </c>
      <c r="BZ231" s="443">
        <f t="shared" si="217"/>
        <v>23.3125</v>
      </c>
      <c r="CA231" s="72">
        <v>1341</v>
      </c>
      <c r="CB231" s="76">
        <f t="shared" si="182"/>
        <v>101575.565625</v>
      </c>
      <c r="CC231" s="289">
        <f t="shared" si="218"/>
        <v>613.28125</v>
      </c>
      <c r="CD231" s="289">
        <f t="shared" si="219"/>
        <v>25.553385416666668</v>
      </c>
      <c r="CE231" s="761">
        <f>CC231/(AVERAGE(BY230,BY231)*(AVERAGE(D$197,D$227,D$206,D$225,D$212,D$213,D$219,D$199,D$204))*AVERAGE(E$197,E$227,E$206,E$225,E$212,E$213,E$219,E$199,E$204)*0.0001)</f>
        <v>675.70211364238503</v>
      </c>
      <c r="CF231" s="66"/>
      <c r="CG231" s="72">
        <f>CC231/(AVERAGE(BY231)*AVERAGE((D$197,D$190,D$206,D$227,D$212,D$213,D$219,D$199,D$204))*0.01)</f>
        <v>531.77948006381393</v>
      </c>
      <c r="CH231" s="433">
        <f t="shared" si="201"/>
        <v>0.82209282841823061</v>
      </c>
      <c r="CI231" s="66"/>
      <c r="CJ231" s="66"/>
      <c r="CK231" s="66"/>
      <c r="CL231" s="66"/>
      <c r="CM231" s="66"/>
      <c r="CN231" s="110"/>
    </row>
    <row r="232" spans="1:93" s="337" customFormat="1">
      <c r="A232" s="309">
        <f t="shared" si="194"/>
        <v>41387</v>
      </c>
      <c r="B232" s="310">
        <f t="shared" si="220"/>
        <v>0.33333333333333331</v>
      </c>
      <c r="C232" s="311">
        <f t="shared" si="174"/>
        <v>24</v>
      </c>
      <c r="D232" s="598">
        <v>3.5750535694146861</v>
      </c>
      <c r="E232" s="599">
        <v>81.861198738170259</v>
      </c>
      <c r="F232" s="319"/>
      <c r="G232" s="365">
        <v>5.72</v>
      </c>
      <c r="H232" s="319"/>
      <c r="I232" s="319"/>
      <c r="J232" s="317"/>
      <c r="K232" s="317"/>
      <c r="L232" s="320"/>
      <c r="M232" s="317"/>
      <c r="N232" s="319"/>
      <c r="O232" s="472"/>
      <c r="P232" s="318"/>
      <c r="Q232" s="319"/>
      <c r="R232" s="332"/>
      <c r="S232" s="317"/>
      <c r="T232" s="317"/>
      <c r="U232" s="541"/>
      <c r="V232" s="598">
        <v>2.383945031003865</v>
      </c>
      <c r="W232" s="599">
        <v>67.31</v>
      </c>
      <c r="X232" s="319"/>
      <c r="Y232" s="319"/>
      <c r="Z232" s="319"/>
      <c r="AA232" s="317"/>
      <c r="AB232" s="317"/>
      <c r="AC232" s="320"/>
      <c r="AD232" s="752">
        <f>D227*(100-E227)/(100-W232)</f>
        <v>2.1339859284184763</v>
      </c>
      <c r="AE232" s="753">
        <f>D227-V232</f>
        <v>0.81605496899613517</v>
      </c>
      <c r="AF232" s="754">
        <f>100*(AVERAGE(D$199,D$206,D$212,D$204,D$197,D$192,D$219,D$213,D$225,D$227)-V232)/AVERAGE(D$199,D$206,D$212,D$204,D$197,D$192,D$219,D$213,D$225,D$227)</f>
        <v>33.23312091525878</v>
      </c>
      <c r="AG232" s="754">
        <f>100*(1-((100-AVERAGE(E$197,E$206,E$212,E$204,E$199,E$227,E$192,E$213,E$219,E$225))/(100-W232)))</f>
        <v>34.889207865653241</v>
      </c>
      <c r="AH232" s="746">
        <f>E227-W232</f>
        <v>10.89</v>
      </c>
      <c r="AI232" s="754">
        <f>100*(1-((V232*W232)/(AVERAGE(D$199,D$206,D$212,D$204,D$197,D$192,D$225,D$213,D$219,D$227)*AVERAGE(E$197,E$206,E$212,E$204,E$199,E$227,E$192,E$213,E$219,E$225))))</f>
        <v>42.907164732432847</v>
      </c>
      <c r="AJ232" s="751">
        <f>100*100*((AVERAGE(E$197,E$206,E$212,E$204,E$199,E$227,E$192,E$178,E$219,E$225)-W232)/((100-W232)*AVERAGE(E$197,E$206,E$212,E$204,E$199,E$227,E$192,E$213,E$219,E$225)))</f>
        <v>44.746893168751512</v>
      </c>
      <c r="AK232" s="318">
        <v>7.15</v>
      </c>
      <c r="AL232" s="470">
        <v>34.299999999999997</v>
      </c>
      <c r="AM232" s="313">
        <v>4358</v>
      </c>
      <c r="AN232" s="327">
        <f t="shared" si="211"/>
        <v>62.64</v>
      </c>
      <c r="AO232" s="489">
        <f t="shared" si="212"/>
        <v>22.557471264367816</v>
      </c>
      <c r="AP232" s="313">
        <v>2446</v>
      </c>
      <c r="AQ232" s="348">
        <f t="shared" si="181"/>
        <v>185250.18750000003</v>
      </c>
      <c r="AR232" s="348">
        <f t="shared" si="213"/>
        <v>1206.9375</v>
      </c>
      <c r="AS232" s="512">
        <f t="shared" si="214"/>
        <v>50.2890625</v>
      </c>
      <c r="AT232" s="313">
        <f>AR232/(AVERAGE(AN232)*(AVERAGE(D$197,D$225,D$206,D$212,D$213,D$219,D$227,D$199,D$204))*AVERAGE(E$197,E$225,E$206,E$212,E$213,E$219,E$227,E$199,E$204)*0.0001)</f>
        <v>679.32656942437507</v>
      </c>
      <c r="AU232" s="348">
        <f>(AQ232-AQ203)/(AVERAGE(AN203:AN232)*((AVERAGE(D204,D213,D199,D212,D225,D219,D206,D227)*AVERAGE(E204,E213,E199,E212,E225,E219,E206,E227))-(V232*W232))*0.0001*(SUM(C203:C232)/24))</f>
        <v>1340.9274894435252</v>
      </c>
      <c r="AV232" s="328">
        <f t="shared" si="215"/>
        <v>533.48061706438818</v>
      </c>
      <c r="AW232" s="477">
        <f t="shared" si="221"/>
        <v>0.85416666666666663</v>
      </c>
      <c r="AX232" s="319">
        <v>64.3</v>
      </c>
      <c r="AY232" s="319">
        <v>33.700000000000003</v>
      </c>
      <c r="AZ232" s="319">
        <v>0</v>
      </c>
      <c r="BA232" s="319">
        <v>94</v>
      </c>
      <c r="BB232" s="319">
        <v>125</v>
      </c>
      <c r="BC232" s="320"/>
      <c r="BD232" s="368"/>
      <c r="BE232" s="330"/>
      <c r="BF232" s="757"/>
      <c r="BG232" s="598">
        <v>2.4577695941077526</v>
      </c>
      <c r="BH232" s="599">
        <v>65.64</v>
      </c>
      <c r="BI232" s="319"/>
      <c r="BJ232" s="319"/>
      <c r="BK232" s="319"/>
      <c r="BL232" s="317"/>
      <c r="BM232" s="317"/>
      <c r="BN232" s="320"/>
      <c r="BO232" s="745">
        <f>D227*(100-E227)/(100-BH232)</f>
        <v>2.0302677532013966</v>
      </c>
      <c r="BP232" s="746">
        <f>D227-BG232</f>
        <v>0.74223040589224754</v>
      </c>
      <c r="BQ232" s="747">
        <f>100*(AVERAGE(D$199,(0.95*D$206),D$212,D$204,D$197,D$192,D$227,D$213,D$219,D$225)-BG232)/AVERAGE(D$199,(0.95*D$206),D$212,D$204,D$197,D$192,D$227,D$213,D$219,D$225)</f>
        <v>30.807016908199458</v>
      </c>
      <c r="BR232" s="748">
        <f>100*(1-((100-AVERAGE(E$199,E$206,E$212,E$204,E$197,E$192,E$227,E$213,E$219,E$225))/(100-BH232)))</f>
        <v>38.053789439121196</v>
      </c>
      <c r="BS232" s="749">
        <f>E227-BH232</f>
        <v>12.560000000000002</v>
      </c>
      <c r="BT232" s="750">
        <f>100*(1-((BG232*BH232)/(AVERAGE(D$199,(0.95*D$206),D$212,D$204,D$197,D$192,D$227,D$213,D$219,D$225)*AVERAGE(E$199,E$206,E$212,E$204,E$197,E$192,E$227,E$213,E$219,E$225))))</f>
        <v>42.300563603559951</v>
      </c>
      <c r="BU232" s="751">
        <f>100*100*((AVERAGE(E$199,E$206,E$212,E$204,E$197,E$192,E$227,E$213,E$219,E$225)-BH232)/((100-BH232)*AVERAGE(E$199,E$206,E$212,E$204,E$197,E$192,E$227,E$213,E$219,E$225)))</f>
        <v>48.343585193952066</v>
      </c>
      <c r="BV232" s="318">
        <v>7.37</v>
      </c>
      <c r="BW232" s="365">
        <v>47.4</v>
      </c>
      <c r="BX232" s="313">
        <v>2490</v>
      </c>
      <c r="BY232" s="462">
        <f t="shared" ref="BY232:BY246" si="222">(BX232-BX231)*CB$1/((C232)/24)</f>
        <v>32</v>
      </c>
      <c r="BZ232" s="462">
        <f t="shared" ref="BZ232:BZ246" si="223">CB$3/BY232</f>
        <v>23.3125</v>
      </c>
      <c r="CA232" s="313">
        <v>1352</v>
      </c>
      <c r="CB232" s="348">
        <f t="shared" si="182"/>
        <v>102250.175</v>
      </c>
      <c r="CC232" s="334">
        <f t="shared" si="218"/>
        <v>674.609375</v>
      </c>
      <c r="CD232" s="334">
        <f t="shared" si="219"/>
        <v>28.108723958333332</v>
      </c>
      <c r="CE232" s="756">
        <f>CC232/(AVERAGE(BY231,BY232)*(AVERAGE(D$197,D$227,D$206,D$225,D$212,D$213,D$219,D$199,D$204))*AVERAGE(E$197,E$227,E$206,E$225,E$212,E$213,E$219,E$199,E$204)*0.0001)</f>
        <v>743.27232500662353</v>
      </c>
      <c r="CF232" s="313">
        <f>(CB232-CB203)/(AVERAGE(BY203:BY232)*((AVERAGE(D213,D199,D206,D219,D225,D227,D212,D204)*AVERAGE(E213,E199,E225,E206,E219,E227,E212,E204))-(BG232*BH232))*0.0001*(SUM(C203:C232)/24))</f>
        <v>1407.1205338317529</v>
      </c>
      <c r="CG232" s="313">
        <f>CC232/(AVERAGE(BY232)*AVERAGE((D$197,D$232,D$206,D$227,D$212,D$213,D$219,D$199,D$204))*0.01)</f>
        <v>584.14603742561542</v>
      </c>
      <c r="CH232" s="477">
        <f t="shared" si="201"/>
        <v>0.90430211126005366</v>
      </c>
      <c r="CI232" s="319">
        <v>63.7</v>
      </c>
      <c r="CJ232" s="319">
        <v>34.200000000000003</v>
      </c>
      <c r="CK232" s="319">
        <v>0</v>
      </c>
      <c r="CL232" s="319">
        <v>68</v>
      </c>
      <c r="CM232" s="319">
        <v>195</v>
      </c>
      <c r="CN232" s="442"/>
    </row>
    <row r="233" spans="1:93" ht="15">
      <c r="A233" s="141">
        <f t="shared" si="194"/>
        <v>41388</v>
      </c>
      <c r="B233" s="307">
        <v>0.33333333333333331</v>
      </c>
      <c r="C233" s="304">
        <f t="shared" si="174"/>
        <v>24</v>
      </c>
      <c r="D233" s="65"/>
      <c r="E233" s="66"/>
      <c r="F233" s="66"/>
      <c r="G233" s="66"/>
      <c r="H233" s="66"/>
      <c r="I233" s="66"/>
      <c r="J233" s="86"/>
      <c r="K233" s="86"/>
      <c r="L233" s="63"/>
      <c r="M233" s="86"/>
      <c r="N233" s="66"/>
      <c r="O233" s="265"/>
      <c r="P233" s="224"/>
      <c r="Q233" s="210"/>
      <c r="R233" s="225"/>
      <c r="S233" s="211"/>
      <c r="T233" s="211"/>
      <c r="U233" s="213"/>
      <c r="V233" s="65"/>
      <c r="W233" s="66"/>
      <c r="X233" s="66"/>
      <c r="Y233" s="66"/>
      <c r="Z233" s="66"/>
      <c r="AA233" s="86"/>
      <c r="AB233" s="86"/>
      <c r="AC233" s="63"/>
      <c r="AD233" s="87"/>
      <c r="AE233" s="87"/>
      <c r="AF233" s="87"/>
      <c r="AG233" s="66"/>
      <c r="AH233" s="66"/>
      <c r="AI233" s="64"/>
      <c r="AJ233" s="63"/>
      <c r="AK233" s="65"/>
      <c r="AL233" s="66">
        <v>35.6</v>
      </c>
      <c r="AM233" s="301">
        <v>4385</v>
      </c>
      <c r="AN233" s="89">
        <f t="shared" ref="AN233:AN262" si="224">(AM233-AM232)*AQ$1/((C232)/24)</f>
        <v>58.320000000000007</v>
      </c>
      <c r="AO233" s="488">
        <f t="shared" ref="AO233:AO262" si="225">AQ$3/AN233</f>
        <v>24.228395061728392</v>
      </c>
      <c r="AP233" s="72">
        <v>2466</v>
      </c>
      <c r="AQ233" s="76">
        <f t="shared" si="181"/>
        <v>186457.12500000003</v>
      </c>
      <c r="AR233" s="76">
        <f t="shared" ref="AR233:AR248" si="226">(AQ233-AQ232)/(C233/24)</f>
        <v>1206.9375</v>
      </c>
      <c r="AS233" s="230">
        <f t="shared" ref="AS233:AS238" si="227">(AQ233-AQ232)/C233</f>
        <v>50.2890625</v>
      </c>
      <c r="AT233" s="72">
        <f>AR233/(AVERAGE(AN233)*(AVERAGE(D$232,D$225,D$206,D$212,D$213,D$219,D$227,D$199,D$204))*AVERAGE(E$232,E$225,E$206,E$212,E$213,E$219,E$227,E$199,E$204)*0.0001)</f>
        <v>718.60630468190334</v>
      </c>
      <c r="AU233" s="66"/>
      <c r="AV233" s="143">
        <f>AR233/(AVERAGE(AN233)*AVERAGE(D$197,D$225,D$206,D$212,D$213,D$219,D$232,D$199,D$204)*0.01)</f>
        <v>569.9284347241894</v>
      </c>
      <c r="AW233" s="511">
        <f t="shared" si="221"/>
        <v>0.85416666666666663</v>
      </c>
      <c r="AX233" s="66"/>
      <c r="AY233" s="66"/>
      <c r="AZ233" s="66"/>
      <c r="BA233" s="66"/>
      <c r="BB233" s="66"/>
      <c r="BC233" s="63"/>
      <c r="BD233" s="64"/>
      <c r="BE233" s="147"/>
      <c r="BF233" s="232"/>
      <c r="BG233" s="65"/>
      <c r="BH233" s="66"/>
      <c r="BI233" s="66"/>
      <c r="BJ233" s="66"/>
      <c r="BK233" s="66"/>
      <c r="BL233" s="86"/>
      <c r="BM233" s="86"/>
      <c r="BN233" s="63"/>
      <c r="BO233" s="87"/>
      <c r="BP233" s="87"/>
      <c r="BQ233" s="87"/>
      <c r="BR233" s="66"/>
      <c r="BS233" s="64"/>
      <c r="BT233" s="66"/>
      <c r="BU233" s="67"/>
      <c r="BV233" s="65"/>
      <c r="BW233" s="66">
        <v>51.1</v>
      </c>
      <c r="BX233" s="72">
        <v>2505</v>
      </c>
      <c r="BY233" s="443">
        <f t="shared" si="222"/>
        <v>30</v>
      </c>
      <c r="BZ233" s="443">
        <f t="shared" si="223"/>
        <v>24.866666666666667</v>
      </c>
      <c r="CA233" s="72">
        <v>1363</v>
      </c>
      <c r="CB233" s="76">
        <f t="shared" si="182"/>
        <v>102924.784375</v>
      </c>
      <c r="CC233" s="289">
        <f t="shared" ref="CC233:CC246" si="228">(CB233-CB232)/((C233/24))</f>
        <v>674.609375</v>
      </c>
      <c r="CD233" s="289">
        <f t="shared" ref="CD233:CD261" si="229">(CB233-CB232)/(C233)</f>
        <v>28.108723958333332</v>
      </c>
      <c r="CE233" s="761">
        <f>CC233/(AVERAGE(BY232,BY233)*(AVERAGE(D$232,D$227,D$206,D$225,D$212,D$213,D$219,D$199,D$204))*AVERAGE(E$232,E$227,E$206,E$225,E$212,E$213,E$219,E$199,E$204)*0.0001)</f>
        <v>755.63912368793387</v>
      </c>
      <c r="CF233" s="66"/>
      <c r="CG233" s="72">
        <f>CC233/(AVERAGE(BY233)*AVERAGE((D$197,D$232,D$206,D$227,D$212,D$213,D$219,D$199,D$204))*0.01)</f>
        <v>623.08910658732316</v>
      </c>
      <c r="CH233" s="433">
        <f t="shared" si="201"/>
        <v>0.90430211126005366</v>
      </c>
      <c r="CI233" s="66"/>
      <c r="CJ233" s="66"/>
      <c r="CK233" s="66"/>
      <c r="CL233" s="66"/>
      <c r="CM233" s="66"/>
      <c r="CN233" s="110"/>
    </row>
    <row r="234" spans="1:93" s="337" customFormat="1" ht="28.5">
      <c r="A234" s="309">
        <f t="shared" si="194"/>
        <v>41389</v>
      </c>
      <c r="B234" s="310">
        <f t="shared" ref="B234:B244" si="230">B233</f>
        <v>0.33333333333333331</v>
      </c>
      <c r="C234" s="311">
        <f t="shared" si="174"/>
        <v>24</v>
      </c>
      <c r="D234" s="318">
        <v>3.8</v>
      </c>
      <c r="E234" s="319">
        <v>77.900000000000006</v>
      </c>
      <c r="F234" s="313">
        <v>49100</v>
      </c>
      <c r="G234" s="319"/>
      <c r="H234" s="319">
        <v>48.6</v>
      </c>
      <c r="I234" s="313">
        <v>6035</v>
      </c>
      <c r="J234" s="315">
        <v>2666</v>
      </c>
      <c r="K234" s="317">
        <v>30.9</v>
      </c>
      <c r="L234" s="320">
        <v>219</v>
      </c>
      <c r="M234" s="317">
        <v>65</v>
      </c>
      <c r="N234" s="319">
        <v>85</v>
      </c>
      <c r="O234" s="472"/>
      <c r="P234" s="763">
        <f>(N234-M234)*P$2</f>
        <v>280</v>
      </c>
      <c r="Q234" s="764">
        <f>P234/((N234-M234)*N$4)</f>
        <v>2.7866242038216558</v>
      </c>
      <c r="R234" s="765">
        <f>10*Q234/(AVERAGE(D227,D225))</f>
        <v>8.4443157691565336</v>
      </c>
      <c r="S234" s="317"/>
      <c r="T234" s="317"/>
      <c r="U234" s="317"/>
      <c r="V234" s="318">
        <v>2.4</v>
      </c>
      <c r="W234" s="319">
        <v>66.400000000000006</v>
      </c>
      <c r="X234" s="348">
        <v>28800</v>
      </c>
      <c r="Y234" s="319">
        <v>37.9</v>
      </c>
      <c r="Z234" s="319">
        <v>2023</v>
      </c>
      <c r="AA234" s="317">
        <v>569</v>
      </c>
      <c r="AB234" s="317">
        <v>64.8</v>
      </c>
      <c r="AC234" s="320">
        <v>156</v>
      </c>
      <c r="AD234" s="752">
        <f>D232*(100-E232)/(100-W234)</f>
        <v>1.9299757796430963</v>
      </c>
      <c r="AE234" s="753">
        <f>D232-V234</f>
        <v>1.1750535694146862</v>
      </c>
      <c r="AF234" s="754">
        <f>100*(AVERAGE(D$199,D$206,D$212,D$204,D$197,D$232,D$219,D$213,D$225,D$227)-V234)/AVERAGE(D$199,D$206,D$212,D$204,D$197,D$232,D$219,D$213,D$225,D$227)</f>
        <v>33.111406291591585</v>
      </c>
      <c r="AG234" s="754">
        <f>100*(1-((100-AVERAGE(E$197,E$206,E$212,E$204,E$199,E$227,E$232,E$213,E$219,E$225))/(100-W234)))</f>
        <v>38.397029538985315</v>
      </c>
      <c r="AH234" s="746">
        <f>E232-W234</f>
        <v>15.461198738170253</v>
      </c>
      <c r="AI234" s="754">
        <f>100*(1-((V234*W234)/(AVERAGE(D$199,D$206,D$212,D$204,D$197,D$232,D$225,D$213,D$219,D$227)*AVERAGE(E$197,E$206,E$212,E$204,E$199,E$227,E$232,E$213,E$219,E$225))))</f>
        <v>43.993390855394118</v>
      </c>
      <c r="AJ234" s="751">
        <f>100*100*((AVERAGE(E$197,E$206,E$212,E$204,E$199,E$227,E$232,E$178,E$219,E$225)-W234)/((100-W234)*AVERAGE(E$197,E$206,E$212,E$204,E$199,E$227,E$232,E$213,E$219,E$225)))</f>
        <v>48.828183816299834</v>
      </c>
      <c r="AK234" s="318"/>
      <c r="AL234" s="319">
        <v>35.5</v>
      </c>
      <c r="AM234" s="313">
        <v>4413</v>
      </c>
      <c r="AN234" s="327">
        <f t="shared" si="224"/>
        <v>60.480000000000004</v>
      </c>
      <c r="AO234" s="489">
        <f t="shared" si="225"/>
        <v>23.363095238095237</v>
      </c>
      <c r="AP234" s="313">
        <v>2486</v>
      </c>
      <c r="AQ234" s="348">
        <f t="shared" si="181"/>
        <v>187664.06250000003</v>
      </c>
      <c r="AR234" s="348">
        <f t="shared" si="226"/>
        <v>1206.9375</v>
      </c>
      <c r="AS234" s="512">
        <f t="shared" si="227"/>
        <v>50.2890625</v>
      </c>
      <c r="AT234" s="313">
        <f>AR234/(AVERAGE(AN234)*(AVERAGE(D$232,D$225,D$206,D$212,D$213,D$219,D$227,D$199,D$204))*AVERAGE(E$232,E$225,E$206,E$212,E$213,E$219,E$227,E$199,E$204)*0.0001)</f>
        <v>692.9417938004068</v>
      </c>
      <c r="AU234" s="348">
        <f>(AQ234-AQ205)/(AVERAGE(AN205:AN234)*((AVERAGE(D206,D219,D204,D213,D227,D225,D212,D232)*AVERAGE(E206,E219,E204,E213,E227,E225,E212,E232))-(V234*W234))*0.0001*(SUM(C205:C234)/24))</f>
        <v>1356.1700441665369</v>
      </c>
      <c r="AV234" s="328">
        <f>AR234/(AVERAGE(AN234)*AVERAGE(D$197,D$225,D$206,D$212,D$213,D$219,D$232,D$199,D$204)*0.01)</f>
        <v>549.57384776975402</v>
      </c>
      <c r="AW234" s="477">
        <f t="shared" si="221"/>
        <v>0.85416666666666663</v>
      </c>
      <c r="AX234" s="319"/>
      <c r="AY234" s="319"/>
      <c r="AZ234" s="319"/>
      <c r="BA234" s="319"/>
      <c r="BB234" s="319"/>
      <c r="BC234" s="415" t="s">
        <v>152</v>
      </c>
      <c r="BD234" s="368"/>
      <c r="BE234" s="330"/>
      <c r="BF234" s="317"/>
      <c r="BG234" s="318">
        <v>2.4</v>
      </c>
      <c r="BH234" s="319">
        <v>64</v>
      </c>
      <c r="BI234" s="348">
        <v>26700</v>
      </c>
      <c r="BJ234" s="319">
        <v>36.4</v>
      </c>
      <c r="BK234" s="348">
        <v>2733</v>
      </c>
      <c r="BL234" s="315">
        <v>512</v>
      </c>
      <c r="BM234" s="315">
        <v>78.400000000000006</v>
      </c>
      <c r="BN234" s="320">
        <v>115</v>
      </c>
      <c r="BO234" s="745">
        <f>D232*(100-E232)/(100-BH234)</f>
        <v>1.8013107276668896</v>
      </c>
      <c r="BP234" s="746">
        <f>D232-BG234</f>
        <v>1.1750535694146862</v>
      </c>
      <c r="BQ234" s="747">
        <f>100*(AVERAGE(D$199,(0.95*D$206),D$212,D$204,D$197,D$232,D$227,D$213,D$219,D$225)-BG234)/AVERAGE(D$199,(0.95*D$206),D$212,D$204,D$197,D$232,D$227,D$213,D$219,D$225)</f>
        <v>32.764741583938125</v>
      </c>
      <c r="BR234" s="748">
        <f>100*(1-((100-AVERAGE(E$199,E$206,E$212,E$204,E$197,E$232,E$227,E$213,E$219,E$225))/(100-BH234)))</f>
        <v>42.503894236386309</v>
      </c>
      <c r="BS234" s="749">
        <f>E232-BH234</f>
        <v>17.861198738170259</v>
      </c>
      <c r="BT234" s="750">
        <f>100*(1-((BG234*BH234)/(AVERAGE(D$199,(0.95*D$206),D$212,D$204,D$197,D$232,D$227,D$213,D$219,D$225)*AVERAGE(E$199,E$206,E$212,E$204,E$197,E$232,E$227,E$213,E$219,E$225))))</f>
        <v>45.737951232031968</v>
      </c>
      <c r="BU234" s="751">
        <f>100*100*((AVERAGE(E$199,E$206,E$212,E$204,E$197,E$232,E$227,E$213,E$219,E$225)-BH234)/((100-BH234)*AVERAGE(E$199,E$206,E$212,E$204,E$197,E$232,E$227,E$213,E$219,E$225)))</f>
        <v>53.597910257036361</v>
      </c>
      <c r="BV234" s="318"/>
      <c r="BW234" s="319">
        <v>50.9</v>
      </c>
      <c r="BX234" s="313">
        <v>2522</v>
      </c>
      <c r="BY234" s="462">
        <f t="shared" si="222"/>
        <v>34</v>
      </c>
      <c r="BZ234" s="462">
        <f t="shared" si="223"/>
        <v>21.941176470588236</v>
      </c>
      <c r="CA234" s="313">
        <v>1374</v>
      </c>
      <c r="CB234" s="348">
        <f t="shared" si="182"/>
        <v>103599.39375</v>
      </c>
      <c r="CC234" s="334">
        <f t="shared" si="228"/>
        <v>674.609375</v>
      </c>
      <c r="CD234" s="334">
        <f t="shared" si="229"/>
        <v>28.108723958333332</v>
      </c>
      <c r="CE234" s="756">
        <f>CC234/(AVERAGE(BY233,BY234)*(AVERAGE(D$232,D$227,D$206,D$225,D$212,D$213,D$219,D$199,D$204))*AVERAGE(E$232,E$227,E$206,E$225,E$212,E$213,E$219,E$199,E$204)*0.0001)</f>
        <v>732.0254010726859</v>
      </c>
      <c r="CF234" s="313">
        <f>(CB234-CB205)/(AVERAGE(BY205:BY234)*((AVERAGE(D213,D232,D206,D219,D225,D227,D212,D204)*AVERAGE(E213,E232,E225,E206,E219,E227,E212,E204))-(BG234*BH234))*0.0001*(SUM(C205:C234)/24))</f>
        <v>1351.9650483913456</v>
      </c>
      <c r="CG234" s="313">
        <f>CC234/(AVERAGE(BY234)*AVERAGE((D$197,D$232,D$206,D$227,D$212,D$213,D$219,D$199,D$204))*0.01)</f>
        <v>549.78450581234392</v>
      </c>
      <c r="CH234" s="477">
        <f t="shared" si="201"/>
        <v>0.90430211126005366</v>
      </c>
      <c r="CI234" s="319"/>
      <c r="CJ234" s="319"/>
      <c r="CK234" s="319"/>
      <c r="CL234" s="319"/>
      <c r="CM234" s="319"/>
      <c r="CN234" s="442" t="s">
        <v>152</v>
      </c>
    </row>
    <row r="235" spans="1:93" ht="15">
      <c r="A235" s="141">
        <f t="shared" si="194"/>
        <v>41390</v>
      </c>
      <c r="B235" s="307">
        <f t="shared" si="230"/>
        <v>0.33333333333333331</v>
      </c>
      <c r="C235" s="304">
        <f t="shared" si="174"/>
        <v>24</v>
      </c>
      <c r="D235" s="65"/>
      <c r="E235" s="66"/>
      <c r="F235" s="66"/>
      <c r="G235" s="66"/>
      <c r="H235" s="66"/>
      <c r="I235" s="66"/>
      <c r="J235" s="86"/>
      <c r="K235" s="86"/>
      <c r="L235" s="63"/>
      <c r="M235" s="86"/>
      <c r="N235" s="66"/>
      <c r="O235" s="265"/>
      <c r="P235" s="224"/>
      <c r="Q235" s="210"/>
      <c r="R235" s="225"/>
      <c r="S235" s="86"/>
      <c r="T235" s="86"/>
      <c r="U235" s="232"/>
      <c r="V235" s="65"/>
      <c r="W235" s="66"/>
      <c r="X235" s="66"/>
      <c r="Y235" s="66"/>
      <c r="Z235" s="66"/>
      <c r="AA235" s="86"/>
      <c r="AB235" s="86"/>
      <c r="AC235" s="63"/>
      <c r="AD235" s="87"/>
      <c r="AE235" s="87"/>
      <c r="AF235" s="87"/>
      <c r="AG235" s="66"/>
      <c r="AH235" s="66"/>
      <c r="AI235" s="64"/>
      <c r="AJ235" s="63"/>
      <c r="AK235" s="65"/>
      <c r="AL235" s="66">
        <v>35.6</v>
      </c>
      <c r="AM235" s="301">
        <v>4441</v>
      </c>
      <c r="AN235" s="89">
        <f t="shared" si="224"/>
        <v>60.480000000000004</v>
      </c>
      <c r="AO235" s="488">
        <f t="shared" si="225"/>
        <v>23.363095238095237</v>
      </c>
      <c r="AP235" s="72">
        <v>2506</v>
      </c>
      <c r="AQ235" s="76">
        <f t="shared" si="181"/>
        <v>188871.00000000003</v>
      </c>
      <c r="AR235" s="76">
        <f t="shared" si="226"/>
        <v>1206.9375</v>
      </c>
      <c r="AS235" s="230">
        <f t="shared" si="227"/>
        <v>50.2890625</v>
      </c>
      <c r="AT235" s="72">
        <f>AR235/(AVERAGE(AN235)*(AVERAGE(D$232,D$225,D$206,D$212,D$213,D$219,D$227,D$234,D$204))*AVERAGE(E$232,E$225,E$206,E$212,E$213,E$219,E$227,E$234,E$204)*0.0001)</f>
        <v>694.01702963656737</v>
      </c>
      <c r="AU235" s="66"/>
      <c r="AV235" s="143">
        <f>AR235/(AVERAGE(AN235)*AVERAGE(D$234,D$225,D$206,D$212,D$213,D$219,D$232,D$199,D$204)*0.01)</f>
        <v>536.85101496012749</v>
      </c>
      <c r="AW235" s="511">
        <f t="shared" si="221"/>
        <v>0.85416666666666663</v>
      </c>
      <c r="AX235" s="66"/>
      <c r="AY235" s="66"/>
      <c r="AZ235" s="66"/>
      <c r="BA235" s="66"/>
      <c r="BB235" s="66"/>
      <c r="BC235" s="102"/>
      <c r="BD235" s="64"/>
      <c r="BE235" s="147"/>
      <c r="BF235" s="213"/>
      <c r="BG235" s="65"/>
      <c r="BH235" s="66"/>
      <c r="BI235" s="66"/>
      <c r="BJ235" s="66"/>
      <c r="BK235" s="66"/>
      <c r="BL235" s="86"/>
      <c r="BM235" s="86"/>
      <c r="BN235" s="63"/>
      <c r="BO235" s="87"/>
      <c r="BP235" s="87"/>
      <c r="BQ235" s="87"/>
      <c r="BR235" s="66"/>
      <c r="BS235" s="64"/>
      <c r="BT235" s="66"/>
      <c r="BU235" s="67"/>
      <c r="BV235" s="65"/>
      <c r="BW235" s="66">
        <v>51.1</v>
      </c>
      <c r="BX235" s="72">
        <v>2537</v>
      </c>
      <c r="BY235" s="443">
        <f t="shared" si="222"/>
        <v>30</v>
      </c>
      <c r="BZ235" s="443">
        <f t="shared" si="223"/>
        <v>24.866666666666667</v>
      </c>
      <c r="CA235" s="72">
        <v>1385</v>
      </c>
      <c r="CB235" s="76">
        <f t="shared" si="182"/>
        <v>104274.003125</v>
      </c>
      <c r="CC235" s="289">
        <f t="shared" si="228"/>
        <v>674.609375</v>
      </c>
      <c r="CD235" s="289">
        <f t="shared" si="229"/>
        <v>28.108723958333332</v>
      </c>
      <c r="CE235" s="761">
        <f>CC235/(AVERAGE(BY234,BY235)*(AVERAGE(D$232,D$227,D$206,D$225,D$212,D$213,D$219,D$234,D$204))*AVERAGE(E$232,E$227,E$206,E$225,E$212,E$213,E$219,E$234,E$204)*0.0001)</f>
        <v>733.16128283253215</v>
      </c>
      <c r="CF235" s="66"/>
      <c r="CG235" s="72">
        <f>CC235/(AVERAGE(BY235)*AVERAGE((D$232,D$227,D$206,D$225,D$212,D$213,D$219,D$234,D$204))*0.01)</f>
        <v>615.98685898476663</v>
      </c>
      <c r="CH235" s="433">
        <f t="shared" si="201"/>
        <v>0.90430211126005366</v>
      </c>
      <c r="CI235" s="66"/>
      <c r="CJ235" s="66"/>
      <c r="CK235" s="66"/>
      <c r="CL235" s="66"/>
      <c r="CM235" s="66"/>
      <c r="CN235" s="110"/>
    </row>
    <row r="236" spans="1:93" ht="15">
      <c r="A236" s="141">
        <f t="shared" si="194"/>
        <v>41391</v>
      </c>
      <c r="B236" s="307">
        <f t="shared" si="230"/>
        <v>0.33333333333333331</v>
      </c>
      <c r="C236" s="304">
        <f t="shared" si="174"/>
        <v>24</v>
      </c>
      <c r="D236" s="65"/>
      <c r="E236" s="66"/>
      <c r="F236" s="66"/>
      <c r="G236" s="66"/>
      <c r="H236" s="66"/>
      <c r="I236" s="66"/>
      <c r="J236" s="86"/>
      <c r="K236" s="86"/>
      <c r="L236" s="63"/>
      <c r="M236" s="86">
        <v>55</v>
      </c>
      <c r="N236" s="66">
        <v>85</v>
      </c>
      <c r="O236" s="261"/>
      <c r="P236" s="224">
        <f>(N236-M236)*P$2</f>
        <v>420</v>
      </c>
      <c r="Q236" s="210">
        <f>P236/((N236-M236)*N$4)</f>
        <v>2.7866242038216562</v>
      </c>
      <c r="R236" s="225">
        <f>10*Q236/(AVERAGE(D232,D227))</f>
        <v>8.2261318682455808</v>
      </c>
      <c r="S236" s="86"/>
      <c r="T236" s="86"/>
      <c r="U236" s="86"/>
      <c r="V236" s="207"/>
      <c r="W236" s="66"/>
      <c r="X236" s="66"/>
      <c r="Y236" s="66"/>
      <c r="Z236" s="66"/>
      <c r="AA236" s="86"/>
      <c r="AB236" s="86"/>
      <c r="AC236" s="63"/>
      <c r="AD236" s="87"/>
      <c r="AE236" s="87"/>
      <c r="AF236" s="87"/>
      <c r="AG236" s="66"/>
      <c r="AH236" s="66"/>
      <c r="AI236" s="64"/>
      <c r="AJ236" s="63"/>
      <c r="AK236" s="65"/>
      <c r="AL236" s="66">
        <v>35.5</v>
      </c>
      <c r="AM236" s="301">
        <v>4469</v>
      </c>
      <c r="AN236" s="89">
        <f t="shared" si="224"/>
        <v>60.480000000000004</v>
      </c>
      <c r="AO236" s="488">
        <f t="shared" si="225"/>
        <v>23.363095238095237</v>
      </c>
      <c r="AP236" s="72">
        <v>2528</v>
      </c>
      <c r="AQ236" s="76">
        <f t="shared" si="181"/>
        <v>190198.63125000001</v>
      </c>
      <c r="AR236" s="76">
        <f t="shared" si="226"/>
        <v>1327.6312499999767</v>
      </c>
      <c r="AS236" s="230">
        <f t="shared" si="227"/>
        <v>55.317968749999032</v>
      </c>
      <c r="AT236" s="72">
        <f>AR236/(AVERAGE(AN236)*(AVERAGE(D$232,D$225,D$206,D$212,D$213,D$219,D$227,D$234,D$204))*AVERAGE(E$232,E$225,E$206,E$212,E$213,E$219,E$227,E$234,E$204)*0.0001)</f>
        <v>763.41873260021077</v>
      </c>
      <c r="AU236" s="66"/>
      <c r="AV236" s="143">
        <f>AR236/(AVERAGE(AN236)*AVERAGE(D$234,D$225,D$206,D$212,D$213,D$219,D$232,D$199,D$204)*0.01)</f>
        <v>590.53611645612989</v>
      </c>
      <c r="AW236" s="511">
        <f t="shared" si="221"/>
        <v>0.93958333333331689</v>
      </c>
      <c r="AX236" s="66"/>
      <c r="AY236" s="66"/>
      <c r="AZ236" s="66"/>
      <c r="BA236" s="66"/>
      <c r="BB236" s="66"/>
      <c r="BC236" s="63"/>
      <c r="BD236" s="64"/>
      <c r="BE236" s="147"/>
      <c r="BF236" s="86"/>
      <c r="BG236" s="207"/>
      <c r="BH236" s="66"/>
      <c r="BI236" s="66"/>
      <c r="BJ236" s="66"/>
      <c r="BK236" s="66"/>
      <c r="BL236" s="86"/>
      <c r="BM236" s="86"/>
      <c r="BN236" s="63"/>
      <c r="BO236" s="87"/>
      <c r="BP236" s="87"/>
      <c r="BQ236" s="87"/>
      <c r="BR236" s="66"/>
      <c r="BS236" s="64"/>
      <c r="BT236" s="66"/>
      <c r="BU236" s="67"/>
      <c r="BV236" s="65"/>
      <c r="BW236" s="66">
        <v>51.2</v>
      </c>
      <c r="BX236" s="72">
        <v>2554</v>
      </c>
      <c r="BY236" s="443">
        <f t="shared" si="222"/>
        <v>34</v>
      </c>
      <c r="BZ236" s="443">
        <f t="shared" si="223"/>
        <v>21.941176470588236</v>
      </c>
      <c r="CA236" s="72">
        <v>1397</v>
      </c>
      <c r="CB236" s="76">
        <f t="shared" si="182"/>
        <v>105009.940625</v>
      </c>
      <c r="CC236" s="289">
        <f t="shared" si="228"/>
        <v>735.9375</v>
      </c>
      <c r="CD236" s="289">
        <f t="shared" si="229"/>
        <v>30.6640625</v>
      </c>
      <c r="CE236" s="761">
        <f>CC236/(AVERAGE(BY235,BY236)*(AVERAGE(D$232,D$227,D$206,D$225,D$212,D$213,D$219,D$234,D$204))*AVERAGE(E$232,E$227,E$206,E$225,E$212,E$213,E$219,E$234,E$204)*0.0001)</f>
        <v>799.81230854458056</v>
      </c>
      <c r="CF236" s="66"/>
      <c r="CG236" s="72">
        <f>CC236/(AVERAGE(BY236)*AVERAGE((D$232,D$227,D$206,D$225,D$212,D$213,D$219,D$234,D$204))*0.01)</f>
        <v>592.92852736501595</v>
      </c>
      <c r="CH236" s="433">
        <f t="shared" si="201"/>
        <v>0.98651139410187672</v>
      </c>
      <c r="CI236" s="66"/>
      <c r="CJ236" s="66"/>
      <c r="CK236" s="66"/>
      <c r="CL236" s="66"/>
      <c r="CM236" s="66"/>
      <c r="CN236" s="110"/>
    </row>
    <row r="237" spans="1:93" s="677" customFormat="1" ht="15">
      <c r="A237" s="378">
        <f t="shared" si="194"/>
        <v>41392</v>
      </c>
      <c r="B237" s="663">
        <f t="shared" si="230"/>
        <v>0.33333333333333331</v>
      </c>
      <c r="C237" s="664">
        <f t="shared" si="174"/>
        <v>24</v>
      </c>
      <c r="D237" s="665"/>
      <c r="E237" s="293"/>
      <c r="F237" s="301"/>
      <c r="G237" s="293"/>
      <c r="H237" s="293"/>
      <c r="I237" s="301"/>
      <c r="J237" s="772"/>
      <c r="K237" s="772"/>
      <c r="L237" s="299"/>
      <c r="M237" s="666"/>
      <c r="N237" s="293"/>
      <c r="O237" s="667"/>
      <c r="P237" s="773"/>
      <c r="Q237" s="774"/>
      <c r="R237" s="775"/>
      <c r="S237" s="666"/>
      <c r="T237" s="666"/>
      <c r="U237" s="777"/>
      <c r="V237" s="665"/>
      <c r="W237" s="293"/>
      <c r="X237" s="490"/>
      <c r="Y237" s="293"/>
      <c r="Z237" s="293"/>
      <c r="AA237" s="666"/>
      <c r="AB237" s="666"/>
      <c r="AC237" s="299"/>
      <c r="AD237" s="298"/>
      <c r="AE237" s="298"/>
      <c r="AF237" s="298"/>
      <c r="AG237" s="293"/>
      <c r="AH237" s="293"/>
      <c r="AI237" s="671"/>
      <c r="AJ237" s="299"/>
      <c r="AK237" s="665"/>
      <c r="AL237" s="293">
        <v>35.700000000000003</v>
      </c>
      <c r="AM237" s="301">
        <v>4497</v>
      </c>
      <c r="AN237" s="672">
        <f t="shared" si="224"/>
        <v>60.480000000000004</v>
      </c>
      <c r="AO237" s="673">
        <f t="shared" si="225"/>
        <v>23.363095238095237</v>
      </c>
      <c r="AP237" s="293">
        <v>2549</v>
      </c>
      <c r="AQ237" s="490">
        <f t="shared" si="181"/>
        <v>191465.91562500002</v>
      </c>
      <c r="AR237" s="490">
        <f t="shared" si="226"/>
        <v>1267.2843750000175</v>
      </c>
      <c r="AS237" s="674">
        <f t="shared" si="227"/>
        <v>52.803515625000728</v>
      </c>
      <c r="AT237" s="72">
        <f>AR237/(AVERAGE(AN237)*(AVERAGE(D$232,D$225,D$206,D$212,D$213,D$219,D$227,D$234,D$204))*AVERAGE(E$232,E$225,E$206,E$212,E$213,E$219,E$227,E$234,E$204)*0.0001)</f>
        <v>728.71788111840578</v>
      </c>
      <c r="AU237" s="776"/>
      <c r="AV237" s="143">
        <f>AR237/(AVERAGE(AN237)*AVERAGE(D$234,D$225,D$206,D$212,D$213,D$219,D$232,D$199,D$204)*0.01)</f>
        <v>563.6935657081417</v>
      </c>
      <c r="AW237" s="511">
        <f t="shared" si="221"/>
        <v>0.89687500000001241</v>
      </c>
      <c r="AX237" s="293"/>
      <c r="AY237" s="293"/>
      <c r="AZ237" s="293"/>
      <c r="BA237" s="293"/>
      <c r="BB237" s="293"/>
      <c r="BC237" s="299"/>
      <c r="BD237" s="671"/>
      <c r="BE237" s="296"/>
      <c r="BF237" s="666"/>
      <c r="BG237" s="665"/>
      <c r="BH237" s="293"/>
      <c r="BI237" s="293"/>
      <c r="BJ237" s="293"/>
      <c r="BK237" s="293"/>
      <c r="BL237" s="772"/>
      <c r="BM237" s="772"/>
      <c r="BN237" s="299"/>
      <c r="BO237" s="298"/>
      <c r="BP237" s="298"/>
      <c r="BQ237" s="298"/>
      <c r="BR237" s="293"/>
      <c r="BS237" s="671"/>
      <c r="BT237" s="293"/>
      <c r="BU237" s="675"/>
      <c r="BV237" s="665"/>
      <c r="BW237" s="293">
        <v>51.1</v>
      </c>
      <c r="BX237" s="301">
        <v>2570</v>
      </c>
      <c r="BY237" s="443">
        <f t="shared" si="222"/>
        <v>32</v>
      </c>
      <c r="BZ237" s="443">
        <f t="shared" si="223"/>
        <v>23.3125</v>
      </c>
      <c r="CA237" s="293">
        <v>1408</v>
      </c>
      <c r="CB237" s="490">
        <f t="shared" si="182"/>
        <v>105684.55</v>
      </c>
      <c r="CC237" s="289">
        <f t="shared" si="228"/>
        <v>674.609375</v>
      </c>
      <c r="CD237" s="289">
        <f t="shared" si="229"/>
        <v>28.108723958333332</v>
      </c>
      <c r="CE237" s="761">
        <f>CC237/(AVERAGE(BY236,BY237)*(AVERAGE(D$232,D$227,D$206,D$225,D$212,D$213,D$219,D$234,D$204))*AVERAGE(E$232,E$227,E$206,E$225,E$212,E$213,E$219,E$234,E$204)*0.0001)</f>
        <v>710.9442742618495</v>
      </c>
      <c r="CF237" s="293"/>
      <c r="CG237" s="72">
        <f>CC237/(AVERAGE(BY237)*AVERAGE((D$232,D$227,D$206,D$225,D$212,D$213,D$219,D$234,D$204))*0.01)</f>
        <v>577.48768029821872</v>
      </c>
      <c r="CH237" s="511">
        <f t="shared" si="201"/>
        <v>0.90430211126005366</v>
      </c>
      <c r="CI237" s="293"/>
      <c r="CJ237" s="293"/>
      <c r="CK237" s="293"/>
      <c r="CL237" s="293"/>
      <c r="CM237" s="293"/>
      <c r="CN237" s="676"/>
    </row>
    <row r="238" spans="1:93" s="337" customFormat="1" ht="15">
      <c r="A238" s="309">
        <f t="shared" si="194"/>
        <v>41393</v>
      </c>
      <c r="B238" s="310">
        <f t="shared" si="230"/>
        <v>0.33333333333333331</v>
      </c>
      <c r="C238" s="311">
        <f>((A238-A237)+(B238-B237))*24</f>
        <v>24</v>
      </c>
      <c r="D238" s="768">
        <v>4.01</v>
      </c>
      <c r="E238" s="769">
        <v>78.17</v>
      </c>
      <c r="F238" s="319"/>
      <c r="G238" s="319">
        <v>5.54</v>
      </c>
      <c r="H238" s="319"/>
      <c r="I238" s="319"/>
      <c r="J238" s="317"/>
      <c r="K238" s="317"/>
      <c r="L238" s="320"/>
      <c r="M238" s="317">
        <v>55</v>
      </c>
      <c r="N238" s="319">
        <v>85</v>
      </c>
      <c r="O238" s="472"/>
      <c r="P238" s="763">
        <f>(N238-M238)*P$2</f>
        <v>420</v>
      </c>
      <c r="Q238" s="764">
        <f>P238/((N238-M238)*N$4)</f>
        <v>2.7866242038216562</v>
      </c>
      <c r="R238" s="765">
        <f>10*Q238/(AVERAGE(D232,D227))</f>
        <v>8.2261318682455808</v>
      </c>
      <c r="S238" s="317"/>
      <c r="T238" s="317"/>
      <c r="U238" s="317"/>
      <c r="V238" s="339">
        <v>2.33</v>
      </c>
      <c r="W238" s="365">
        <v>66.489999999999995</v>
      </c>
      <c r="X238" s="319"/>
      <c r="Y238" s="319"/>
      <c r="Z238" s="319"/>
      <c r="AA238" s="317"/>
      <c r="AB238" s="317"/>
      <c r="AC238" s="320"/>
      <c r="AD238" s="752">
        <f>D234*(100-E234)/(100-W238)</f>
        <v>2.5061175768427324</v>
      </c>
      <c r="AE238" s="753">
        <f>D234-V238</f>
        <v>1.4699999999999998</v>
      </c>
      <c r="AF238" s="754">
        <f>100*(AVERAGE(D$234,D$206,D$212,D$204,D$234,D$232,D$219,D$213,D$225,D$227)-V238)/AVERAGE(D$234,D$206,D$212,D$204,D$234,D$232,D$219,D$213,D$225,D$227)</f>
        <v>36.434412908779009</v>
      </c>
      <c r="AG238" s="754">
        <f>100*(1-((100-AVERAGE(E$234,E$206,E$212,E$204,E$199,E$227,E$232,E$213,E$219,E$225))/(100-W238)))</f>
        <v>36.705818781906963</v>
      </c>
      <c r="AH238" s="746">
        <f>E234-W238</f>
        <v>11.410000000000011</v>
      </c>
      <c r="AI238" s="754">
        <f>100*(1-((V238*W238)/(AVERAGE(D$206,D$212,D$204,D$234,D$232,D$225,D$213,D$219,D$227)*AVERAGE(E$234,E$206,E$212,E$204,E$227,E$232,E$213,E$219,E$225))))</f>
        <v>46.122258470850696</v>
      </c>
      <c r="AJ238" s="751">
        <f>100*100*((AVERAGE(E$234,E$206,E$212,E$204,E$199,E$227,E$232,E$178,E$219,E$225)-W238)/((100-W238)*AVERAGE(E$234,E$206,E$212,E$204,E$199,E$227,E$232,E$213,E$219,E$225)))</f>
        <v>46.999668077947398</v>
      </c>
      <c r="AK238" s="318">
        <v>7.08</v>
      </c>
      <c r="AL238" s="470">
        <v>34.9</v>
      </c>
      <c r="AM238" s="313">
        <v>4525</v>
      </c>
      <c r="AN238" s="327">
        <f t="shared" si="224"/>
        <v>60.480000000000004</v>
      </c>
      <c r="AO238" s="489">
        <f t="shared" si="225"/>
        <v>23.363095238095237</v>
      </c>
      <c r="AP238" s="313">
        <v>2569</v>
      </c>
      <c r="AQ238" s="348">
        <f t="shared" si="181"/>
        <v>192672.85312500002</v>
      </c>
      <c r="AR238" s="348">
        <f t="shared" si="226"/>
        <v>1206.9375</v>
      </c>
      <c r="AS238" s="512">
        <f t="shared" si="227"/>
        <v>50.2890625</v>
      </c>
      <c r="AT238" s="313">
        <f>AR238/(AVERAGE(AN238)*(AVERAGE(D$232,D$225,D$206,D$212,D$213,D$219,D$227,D$234,D$204))*AVERAGE(E$232,E$225,E$206,E$212,E$213,E$219,E$227,E$234,E$204)*0.0001)</f>
        <v>694.01702963656737</v>
      </c>
      <c r="AU238" s="348">
        <f>(AQ238-AQ209)/(AVERAGE(AN209:AN238)*((AVERAGE(D212,D225,D206,D219,D232,D227,D213,D234)*AVERAGE(E212,E225,E206,E219,E232,E227,E213,E234))-(V238*W238))*0.0001*(SUM(C209:C238)/24))</f>
        <v>1310.7975348992188</v>
      </c>
      <c r="AV238" s="328">
        <f>AR238/(AVERAGE(AN238)*AVERAGE(D$234,D$225,D$206,D$212,D$213,D$219,D$232,D$199,D$204)*0.01)</f>
        <v>536.85101496012749</v>
      </c>
      <c r="AW238" s="477">
        <f t="shared" si="221"/>
        <v>0.85416666666666663</v>
      </c>
      <c r="AX238" s="319">
        <v>65.8</v>
      </c>
      <c r="AY238" s="319">
        <v>32.299999999999997</v>
      </c>
      <c r="AZ238" s="319">
        <v>0</v>
      </c>
      <c r="BA238" s="319">
        <v>110</v>
      </c>
      <c r="BB238" s="319">
        <v>135</v>
      </c>
      <c r="BC238" s="320"/>
      <c r="BD238" s="368"/>
      <c r="BE238" s="330"/>
      <c r="BF238" s="317"/>
      <c r="BG238" s="339">
        <v>2.38</v>
      </c>
      <c r="BH238" s="365">
        <v>65.61</v>
      </c>
      <c r="BI238" s="319"/>
      <c r="BJ238" s="319"/>
      <c r="BK238" s="319"/>
      <c r="BL238" s="317"/>
      <c r="BM238" s="317"/>
      <c r="BN238" s="320"/>
      <c r="BO238" s="745">
        <f>D234*(100-E234)/(100-BH238)</f>
        <v>2.4419889502762424</v>
      </c>
      <c r="BP238" s="746">
        <f>D234-BG238</f>
        <v>1.42</v>
      </c>
      <c r="BQ238" s="747">
        <f>100*(AVERAGE(D$234,(0.95*D$206),D$212,D$204,D$199,D$232,D$227,D$213,D$219,D$225)-BG238)/AVERAGE(D$234,(0.95*D$206),D$212,D$204,D$199,D$232,D$227,D$213,D$219,D$225)</f>
        <v>34.740978773994236</v>
      </c>
      <c r="BR238" s="748">
        <f>100*(1-((100-AVERAGE(E$234,E$206,E$212,E$204,E$199,E$232,E$227,E$213,E$219,E$225))/(100-BH238)))</f>
        <v>38.325443075943689</v>
      </c>
      <c r="BS238" s="749">
        <f>E234-BH238</f>
        <v>12.290000000000006</v>
      </c>
      <c r="BT238" s="750">
        <f>100*(1-((BG238*BH238)/(AVERAGE(D$199,(0.95*D$206),D$212,D$204,D$238,D$232,D$227,D$213,D$219,D$225)*AVERAGE(E$199,E$206,E$212,E$204,E$238,E$232,E$227,E$213,E$219,E$225))))</f>
        <v>45.987227215917201</v>
      </c>
      <c r="BU238" s="751">
        <f>100*100*((AVERAGE(E$234,E$206,E$212,E$204,E$199,E$232,E$227,E$213,E$219,E$225)-BH238)/((100-BH238)*AVERAGE(E$234,E$206,E$212,E$204,E$199,E$232,E$227,E$213,E$219,E$225)))</f>
        <v>48.642447983734726</v>
      </c>
      <c r="BV238" s="318">
        <v>7.28</v>
      </c>
      <c r="BW238" s="365">
        <v>48.3</v>
      </c>
      <c r="BX238" s="313">
        <v>2586</v>
      </c>
      <c r="BY238" s="462">
        <f t="shared" si="222"/>
        <v>32</v>
      </c>
      <c r="BZ238" s="462">
        <f t="shared" si="223"/>
        <v>23.3125</v>
      </c>
      <c r="CA238" s="313">
        <v>1419</v>
      </c>
      <c r="CB238" s="348">
        <f t="shared" si="182"/>
        <v>106359.159375</v>
      </c>
      <c r="CC238" s="334">
        <f t="shared" si="228"/>
        <v>674.609375</v>
      </c>
      <c r="CD238" s="334">
        <f t="shared" si="229"/>
        <v>28.108723958333332</v>
      </c>
      <c r="CE238" s="756">
        <f>CC238/(AVERAGE(BY237,BY238)*(AVERAGE(D$232,D$227,D$206,D$225,D$212,D$213,D$219,D$234,D$204))*AVERAGE(E$232,E$227,E$206,E$225,E$212,E$213,E$219,E$234,E$204)*0.0001)</f>
        <v>733.16128283253215</v>
      </c>
      <c r="CF238" s="313">
        <f>(CB238-CB209)/(AVERAGE(BY209:BY238)*((AVERAGE(D213,D232,D234,D219,D225,D227,D212,D206)*AVERAGE(E213,E232,E225,E234,E219,E227,E212,E206))-(BG238*BH238))*0.0001*(SUM(C209:C238)/24))</f>
        <v>1372.9669804404705</v>
      </c>
      <c r="CG238" s="313">
        <f>CC238/(AVERAGE(BY238)*AVERAGE((D$232,D$227,D$206,D$225,D$212,D$213,D$219,D$234,D$204))*0.01)</f>
        <v>577.48768029821872</v>
      </c>
      <c r="CH238" s="477">
        <f t="shared" si="201"/>
        <v>0.90430211126005366</v>
      </c>
      <c r="CI238" s="319">
        <v>64.3</v>
      </c>
      <c r="CJ238" s="319">
        <v>33.200000000000003</v>
      </c>
      <c r="CK238" s="319">
        <v>0</v>
      </c>
      <c r="CL238" s="319">
        <v>79</v>
      </c>
      <c r="CM238" s="319">
        <v>195</v>
      </c>
      <c r="CN238" s="442"/>
    </row>
    <row r="239" spans="1:93">
      <c r="A239" s="141">
        <f t="shared" si="194"/>
        <v>41394</v>
      </c>
      <c r="B239" s="307">
        <f t="shared" si="230"/>
        <v>0.33333333333333331</v>
      </c>
      <c r="C239" s="664">
        <f t="shared" si="174"/>
        <v>24</v>
      </c>
      <c r="D239" s="65"/>
      <c r="E239" s="66"/>
      <c r="F239" s="66"/>
      <c r="G239" s="66"/>
      <c r="H239" s="66"/>
      <c r="I239" s="66"/>
      <c r="J239" s="86"/>
      <c r="K239" s="86"/>
      <c r="L239" s="63"/>
      <c r="M239" s="86"/>
      <c r="N239" s="66"/>
      <c r="O239" s="265"/>
      <c r="P239" s="65"/>
      <c r="Q239" s="66"/>
      <c r="R239" s="67"/>
      <c r="S239" s="94"/>
      <c r="T239" s="94"/>
      <c r="U239" s="86"/>
      <c r="V239" s="65"/>
      <c r="W239" s="66"/>
      <c r="X239" s="66"/>
      <c r="Y239" s="66"/>
      <c r="Z239" s="66"/>
      <c r="AA239" s="86"/>
      <c r="AB239" s="86"/>
      <c r="AC239" s="63"/>
      <c r="AD239" s="87"/>
      <c r="AE239" s="87"/>
      <c r="AF239" s="87"/>
      <c r="AG239" s="66"/>
      <c r="AH239" s="66"/>
      <c r="AI239" s="64"/>
      <c r="AJ239" s="63"/>
      <c r="AK239" s="65"/>
      <c r="AL239" s="66">
        <v>35.6</v>
      </c>
      <c r="AM239" s="301">
        <v>4553</v>
      </c>
      <c r="AN239" s="672">
        <f t="shared" si="224"/>
        <v>60.480000000000004</v>
      </c>
      <c r="AO239" s="673">
        <f t="shared" si="225"/>
        <v>23.363095238095237</v>
      </c>
      <c r="AP239" s="72">
        <v>2589</v>
      </c>
      <c r="AQ239" s="76">
        <f t="shared" si="181"/>
        <v>193879.79062500002</v>
      </c>
      <c r="AR239" s="76">
        <f t="shared" si="226"/>
        <v>1206.9375</v>
      </c>
      <c r="AS239" s="230">
        <f t="shared" ref="AS239:AS248" si="231">(AQ239-AQ238)/C239</f>
        <v>50.2890625</v>
      </c>
      <c r="AT239" s="72">
        <f>AR239/(AVERAGE(AN239)*(AVERAGE(D$232,D$225,D$206,D$212,D$213,D$219,D$227,D$234,D$238))*AVERAGE(E$232,E$225,E$206,E$212,E$213,E$219,E$227,E$234,E$238)*0.0001)</f>
        <v>681.99711306304005</v>
      </c>
      <c r="AU239" s="66"/>
      <c r="AV239" s="143">
        <f>AR239/(AVERAGE(AN239)*AVERAGE(D$234,D$225,D$206,D$212,D$213,D$219,D$232,D$238,D$204)*0.01)</f>
        <v>533.50217985700885</v>
      </c>
      <c r="AW239" s="511">
        <f t="shared" si="221"/>
        <v>0.85416666666666663</v>
      </c>
      <c r="AX239" s="66"/>
      <c r="AY239" s="66"/>
      <c r="AZ239" s="66"/>
      <c r="BA239" s="66"/>
      <c r="BB239" s="66"/>
      <c r="BC239" s="63"/>
      <c r="BD239" s="64"/>
      <c r="BE239" s="147"/>
      <c r="BF239" s="86"/>
      <c r="BG239" s="65"/>
      <c r="BH239" s="66"/>
      <c r="BI239" s="66"/>
      <c r="BJ239" s="66"/>
      <c r="BK239" s="66"/>
      <c r="BL239" s="86"/>
      <c r="BM239" s="86"/>
      <c r="BN239" s="63"/>
      <c r="BO239" s="87"/>
      <c r="BP239" s="87"/>
      <c r="BQ239" s="87"/>
      <c r="BR239" s="66"/>
      <c r="BS239" s="64"/>
      <c r="BT239" s="66"/>
      <c r="BU239" s="67"/>
      <c r="BV239" s="65"/>
      <c r="BW239" s="66">
        <v>51</v>
      </c>
      <c r="BX239" s="72">
        <v>2602</v>
      </c>
      <c r="BY239" s="443">
        <f t="shared" si="222"/>
        <v>32</v>
      </c>
      <c r="BZ239" s="443">
        <f t="shared" si="223"/>
        <v>23.3125</v>
      </c>
      <c r="CA239" s="72">
        <v>1430</v>
      </c>
      <c r="CB239" s="76">
        <f t="shared" si="182"/>
        <v>107033.76875</v>
      </c>
      <c r="CC239" s="289">
        <f t="shared" si="228"/>
        <v>674.609375</v>
      </c>
      <c r="CD239" s="289">
        <f t="shared" si="229"/>
        <v>28.108723958333332</v>
      </c>
      <c r="CE239" s="761">
        <f>CC239/(AVERAGE(BY238,BY239)*(AVERAGE(D$232,D$227,D$206,D$225,D$212,D$213,D$219,D$234,D$238))*AVERAGE(E$232,E$227,E$206,E$225,E$212,E$213,E$219,E$234,E$238)*0.0001)</f>
        <v>720.46341364738828</v>
      </c>
      <c r="CF239" s="66"/>
      <c r="CG239" s="72">
        <f>CC239/(AVERAGE(BY239)*AVERAGE((D$232,D$227,D$206,D$225,D$212,D$213,D$219,D$234,D$238))*0.01)</f>
        <v>567.46996479261645</v>
      </c>
      <c r="CH239" s="433">
        <f t="shared" si="201"/>
        <v>0.90430211126005366</v>
      </c>
      <c r="CI239" s="66"/>
      <c r="CJ239" s="66"/>
      <c r="CK239" s="66"/>
      <c r="CL239" s="66"/>
      <c r="CM239" s="66"/>
      <c r="CN239" s="110"/>
    </row>
    <row r="240" spans="1:93" ht="15">
      <c r="A240" s="141">
        <f t="shared" si="194"/>
        <v>41395</v>
      </c>
      <c r="B240" s="307">
        <f t="shared" si="230"/>
        <v>0.33333333333333331</v>
      </c>
      <c r="C240" s="664">
        <f t="shared" si="174"/>
        <v>24</v>
      </c>
      <c r="D240" s="65"/>
      <c r="E240" s="66"/>
      <c r="F240" s="66"/>
      <c r="G240" s="66"/>
      <c r="H240" s="66"/>
      <c r="I240" s="66"/>
      <c r="J240" s="86"/>
      <c r="K240" s="86"/>
      <c r="L240" s="63"/>
      <c r="M240" s="86">
        <v>55</v>
      </c>
      <c r="N240" s="66">
        <v>85</v>
      </c>
      <c r="O240" s="265"/>
      <c r="P240" s="224">
        <f>(N240-M240)*P$2</f>
        <v>420</v>
      </c>
      <c r="Q240" s="210">
        <f>P240/((N240-M240)*N$4)</f>
        <v>2.7866242038216562</v>
      </c>
      <c r="R240" s="225">
        <f>10*Q240/(AVERAGE(D234,D232))</f>
        <v>7.5568921027995035</v>
      </c>
      <c r="S240" s="86"/>
      <c r="T240" s="86"/>
      <c r="U240" s="232"/>
      <c r="V240" s="65"/>
      <c r="W240" s="66"/>
      <c r="X240" s="66"/>
      <c r="Y240" s="66"/>
      <c r="Z240" s="66"/>
      <c r="AA240" s="86"/>
      <c r="AB240" s="86"/>
      <c r="AC240" s="63"/>
      <c r="AD240" s="87"/>
      <c r="AE240" s="87"/>
      <c r="AF240" s="87"/>
      <c r="AG240" s="66"/>
      <c r="AH240" s="66"/>
      <c r="AI240" s="64"/>
      <c r="AJ240" s="63"/>
      <c r="AK240" s="65"/>
      <c r="AL240" s="66">
        <v>35.4</v>
      </c>
      <c r="AM240" s="301">
        <v>4581</v>
      </c>
      <c r="AN240" s="672">
        <f t="shared" si="224"/>
        <v>60.480000000000004</v>
      </c>
      <c r="AO240" s="673">
        <f t="shared" si="225"/>
        <v>23.363095238095237</v>
      </c>
      <c r="AP240" s="72">
        <v>2608</v>
      </c>
      <c r="AQ240" s="76">
        <f t="shared" si="181"/>
        <v>195026.38125000001</v>
      </c>
      <c r="AR240" s="76">
        <f t="shared" si="226"/>
        <v>1146.5906249999825</v>
      </c>
      <c r="AS240" s="230">
        <f t="shared" si="231"/>
        <v>47.774609374999272</v>
      </c>
      <c r="AT240" s="72">
        <f t="shared" ref="AT240:AT246" si="232">AR240/(AVERAGE(AN240)*(AVERAGE(D$232,D$225,D$206,D$212,D$213,D$219,D$227,D$234,D$238))*AVERAGE(E$232,E$225,E$206,E$212,E$213,E$219,E$227,E$234,E$238)*0.0001)</f>
        <v>647.89725740987819</v>
      </c>
      <c r="AU240" s="66"/>
      <c r="AV240" s="143">
        <f t="shared" ref="AV240:AV246" si="233">AR240/(AVERAGE(AN240)*AVERAGE(D$234,D$225,D$206,D$212,D$213,D$219,D$232,D$238,D$204)*0.01)</f>
        <v>506.8270708641507</v>
      </c>
      <c r="AW240" s="511">
        <f t="shared" si="221"/>
        <v>0.81145833333332096</v>
      </c>
      <c r="AX240" s="66"/>
      <c r="AY240" s="66"/>
      <c r="AZ240" s="66"/>
      <c r="BA240" s="66"/>
      <c r="BB240" s="66"/>
      <c r="BC240" s="63"/>
      <c r="BD240" s="64"/>
      <c r="BE240" s="147"/>
      <c r="BF240" s="232"/>
      <c r="BG240" s="65"/>
      <c r="BH240" s="66"/>
      <c r="BI240" s="66"/>
      <c r="BJ240" s="66"/>
      <c r="BK240" s="66"/>
      <c r="BL240" s="86"/>
      <c r="BM240" s="86"/>
      <c r="BN240" s="63"/>
      <c r="BO240" s="87"/>
      <c r="BP240" s="87"/>
      <c r="BQ240" s="87"/>
      <c r="BR240" s="66"/>
      <c r="BS240" s="64"/>
      <c r="BT240" s="66"/>
      <c r="BU240" s="67"/>
      <c r="BV240" s="65"/>
      <c r="BW240" s="66">
        <v>51</v>
      </c>
      <c r="BX240" s="72">
        <v>2618</v>
      </c>
      <c r="BY240" s="443">
        <f t="shared" si="222"/>
        <v>32</v>
      </c>
      <c r="BZ240" s="443">
        <f t="shared" si="223"/>
        <v>23.3125</v>
      </c>
      <c r="CA240" s="72">
        <v>1441</v>
      </c>
      <c r="CB240" s="76">
        <f t="shared" si="182"/>
        <v>107708.378125</v>
      </c>
      <c r="CC240" s="289">
        <f t="shared" si="228"/>
        <v>674.609375</v>
      </c>
      <c r="CD240" s="289">
        <f t="shared" si="229"/>
        <v>28.108723958333332</v>
      </c>
      <c r="CE240" s="761">
        <f t="shared" ref="CE240:CE246" si="234">CC240/(AVERAGE(BY239,BY240)*(AVERAGE(D$232,D$227,D$206,D$225,D$212,D$213,D$219,D$234,D$238))*AVERAGE(E$232,E$227,E$206,E$225,E$212,E$213,E$219,E$234,E$238)*0.0001)</f>
        <v>720.46341364738828</v>
      </c>
      <c r="CF240" s="66"/>
      <c r="CG240" s="72">
        <f>CC240/(AVERAGE(BY240)*AVERAGE((D$232,D$227,D$206,D$225,D$212,D$213,D$219,D$234,D$238))*0.01)</f>
        <v>567.46996479261645</v>
      </c>
      <c r="CH240" s="433">
        <f t="shared" si="201"/>
        <v>0.90430211126005366</v>
      </c>
      <c r="CI240" s="66"/>
      <c r="CJ240" s="66"/>
      <c r="CK240" s="66"/>
      <c r="CL240" s="66"/>
      <c r="CM240" s="66"/>
      <c r="CN240" s="110"/>
    </row>
    <row r="241" spans="1:110" ht="15">
      <c r="A241" s="141">
        <f t="shared" si="194"/>
        <v>41396</v>
      </c>
      <c r="B241" s="307">
        <f t="shared" si="230"/>
        <v>0.33333333333333331</v>
      </c>
      <c r="C241" s="664">
        <f t="shared" si="174"/>
        <v>24</v>
      </c>
      <c r="D241" s="65"/>
      <c r="E241" s="66"/>
      <c r="F241" s="66"/>
      <c r="G241" s="66"/>
      <c r="H241" s="66"/>
      <c r="I241" s="66"/>
      <c r="J241" s="86"/>
      <c r="K241" s="86"/>
      <c r="L241" s="63"/>
      <c r="M241" s="86"/>
      <c r="N241" s="66"/>
      <c r="O241" s="265"/>
      <c r="P241" s="224"/>
      <c r="Q241" s="210"/>
      <c r="R241" s="225"/>
      <c r="S241" s="211"/>
      <c r="T241" s="211"/>
      <c r="U241" s="232"/>
      <c r="V241" s="65"/>
      <c r="W241" s="66"/>
      <c r="X241" s="66"/>
      <c r="Y241" s="66"/>
      <c r="Z241" s="66"/>
      <c r="AA241" s="86"/>
      <c r="AB241" s="86"/>
      <c r="AC241" s="63"/>
      <c r="AD241" s="87"/>
      <c r="AE241" s="87"/>
      <c r="AF241" s="87"/>
      <c r="AG241" s="66"/>
      <c r="AH241" s="66"/>
      <c r="AI241" s="64"/>
      <c r="AJ241" s="63"/>
      <c r="AK241" s="65"/>
      <c r="AL241" s="66">
        <v>35.700000000000003</v>
      </c>
      <c r="AM241" s="301">
        <v>4609</v>
      </c>
      <c r="AN241" s="672">
        <f t="shared" si="224"/>
        <v>60.480000000000004</v>
      </c>
      <c r="AO241" s="673">
        <f t="shared" si="225"/>
        <v>23.363095238095237</v>
      </c>
      <c r="AP241" s="72">
        <v>2627</v>
      </c>
      <c r="AQ241" s="76">
        <f t="shared" si="181"/>
        <v>196172.97187500002</v>
      </c>
      <c r="AR241" s="76">
        <f t="shared" si="226"/>
        <v>1146.5906250000116</v>
      </c>
      <c r="AS241" s="230">
        <f t="shared" si="231"/>
        <v>47.774609375000487</v>
      </c>
      <c r="AT241" s="72">
        <f t="shared" si="232"/>
        <v>647.89725740989456</v>
      </c>
      <c r="AU241" s="66"/>
      <c r="AV241" s="143">
        <f t="shared" si="233"/>
        <v>506.8270708641636</v>
      </c>
      <c r="AW241" s="511">
        <f t="shared" si="221"/>
        <v>0.81145833333334161</v>
      </c>
      <c r="AX241" s="66"/>
      <c r="AY241" s="66"/>
      <c r="AZ241" s="66"/>
      <c r="BA241" s="66"/>
      <c r="BB241" s="66"/>
      <c r="BC241" s="63"/>
      <c r="BD241" s="64"/>
      <c r="BE241" s="147"/>
      <c r="BF241" s="232"/>
      <c r="BG241" s="65"/>
      <c r="BH241" s="66"/>
      <c r="BI241" s="66"/>
      <c r="BJ241" s="66"/>
      <c r="BK241" s="66"/>
      <c r="BL241" s="86"/>
      <c r="BM241" s="86"/>
      <c r="BN241" s="63"/>
      <c r="BO241" s="87"/>
      <c r="BP241" s="87"/>
      <c r="BQ241" s="87"/>
      <c r="BR241" s="66"/>
      <c r="BS241" s="64"/>
      <c r="BT241" s="66"/>
      <c r="BU241" s="67"/>
      <c r="BV241" s="65"/>
      <c r="BW241" s="66">
        <v>51.1</v>
      </c>
      <c r="BX241" s="72">
        <v>2633</v>
      </c>
      <c r="BY241" s="443">
        <f t="shared" si="222"/>
        <v>30</v>
      </c>
      <c r="BZ241" s="443">
        <f t="shared" si="223"/>
        <v>24.866666666666667</v>
      </c>
      <c r="CA241" s="72">
        <v>1451</v>
      </c>
      <c r="CB241" s="76">
        <f t="shared" si="182"/>
        <v>108321.659375</v>
      </c>
      <c r="CC241" s="289">
        <f t="shared" si="228"/>
        <v>613.28125</v>
      </c>
      <c r="CD241" s="289">
        <f t="shared" si="229"/>
        <v>25.553385416666668</v>
      </c>
      <c r="CE241" s="761">
        <f t="shared" si="234"/>
        <v>676.0946990239421</v>
      </c>
      <c r="CF241" s="66"/>
      <c r="CG241" s="72">
        <f>CC241/(AVERAGE(BY241)*AVERAGE((D$232,D$227,D$206,D$225,D$212,D$213,D$219,D$234,D$238))*0.01)</f>
        <v>550.27390525344629</v>
      </c>
      <c r="CH241" s="433">
        <f t="shared" si="201"/>
        <v>0.82209282841823061</v>
      </c>
      <c r="CI241" s="66"/>
      <c r="CJ241" s="66"/>
      <c r="CK241" s="66"/>
      <c r="CL241" s="66"/>
      <c r="CM241" s="66"/>
      <c r="CN241" s="110"/>
    </row>
    <row r="242" spans="1:110" ht="15">
      <c r="A242" s="141">
        <f t="shared" si="194"/>
        <v>41397</v>
      </c>
      <c r="B242" s="307">
        <f t="shared" si="230"/>
        <v>0.33333333333333331</v>
      </c>
      <c r="C242" s="664">
        <f t="shared" si="174"/>
        <v>24</v>
      </c>
      <c r="D242" s="65"/>
      <c r="E242" s="66"/>
      <c r="F242" s="66"/>
      <c r="G242" s="66"/>
      <c r="H242" s="66"/>
      <c r="I242" s="66"/>
      <c r="J242" s="86"/>
      <c r="K242" s="86"/>
      <c r="L242" s="63"/>
      <c r="M242" s="86">
        <v>55</v>
      </c>
      <c r="N242" s="66">
        <v>85</v>
      </c>
      <c r="O242" s="265"/>
      <c r="P242" s="224">
        <f>(N242-M242)*P$2</f>
        <v>420</v>
      </c>
      <c r="Q242" s="210">
        <f>P242/((N242-M242)*N$4)</f>
        <v>2.7866242038216562</v>
      </c>
      <c r="R242" s="225">
        <f>10*Q242/(AVERAGE(D234,D232))</f>
        <v>7.5568921027995035</v>
      </c>
      <c r="S242" s="86"/>
      <c r="T242" s="86"/>
      <c r="U242" s="232"/>
      <c r="V242" s="65"/>
      <c r="W242" s="66"/>
      <c r="X242" s="66"/>
      <c r="Y242" s="66"/>
      <c r="Z242" s="66"/>
      <c r="AA242" s="86"/>
      <c r="AB242" s="86"/>
      <c r="AC242" s="63"/>
      <c r="AD242" s="87"/>
      <c r="AE242" s="87"/>
      <c r="AF242" s="87"/>
      <c r="AG242" s="66"/>
      <c r="AH242" s="66"/>
      <c r="AI242" s="64"/>
      <c r="AJ242" s="63"/>
      <c r="AK242" s="65"/>
      <c r="AL242" s="66">
        <v>35.5</v>
      </c>
      <c r="AM242" s="301">
        <v>4637</v>
      </c>
      <c r="AN242" s="672">
        <f t="shared" si="224"/>
        <v>60.480000000000004</v>
      </c>
      <c r="AO242" s="673">
        <f t="shared" si="225"/>
        <v>23.363095238095237</v>
      </c>
      <c r="AP242" s="72">
        <v>2645</v>
      </c>
      <c r="AQ242" s="76">
        <f t="shared" si="181"/>
        <v>197259.21562500001</v>
      </c>
      <c r="AR242" s="76">
        <f t="shared" si="226"/>
        <v>1086.2437499999942</v>
      </c>
      <c r="AS242" s="230">
        <f t="shared" si="231"/>
        <v>45.26015624999976</v>
      </c>
      <c r="AT242" s="72">
        <f t="shared" si="232"/>
        <v>613.79740175673271</v>
      </c>
      <c r="AU242" s="66"/>
      <c r="AV242" s="143">
        <f t="shared" si="233"/>
        <v>480.15196187130545</v>
      </c>
      <c r="AW242" s="511">
        <f t="shared" si="221"/>
        <v>0.76874999999999583</v>
      </c>
      <c r="AX242" s="66"/>
      <c r="AY242" s="66"/>
      <c r="AZ242" s="66"/>
      <c r="BA242" s="66"/>
      <c r="BB242" s="66"/>
      <c r="BC242" s="63"/>
      <c r="BD242" s="64"/>
      <c r="BE242" s="147"/>
      <c r="BF242" s="232"/>
      <c r="BG242" s="65"/>
      <c r="BH242" s="66"/>
      <c r="BI242" s="66"/>
      <c r="BJ242" s="66"/>
      <c r="BK242" s="66"/>
      <c r="BL242" s="86"/>
      <c r="BM242" s="86"/>
      <c r="BN242" s="63"/>
      <c r="BO242" s="87"/>
      <c r="BP242" s="87"/>
      <c r="BQ242" s="87"/>
      <c r="BR242" s="66"/>
      <c r="BS242" s="64"/>
      <c r="BT242" s="66"/>
      <c r="BU242" s="67"/>
      <c r="BV242" s="65"/>
      <c r="BW242" s="66">
        <v>51</v>
      </c>
      <c r="BX242" s="72">
        <v>2649</v>
      </c>
      <c r="BY242" s="443">
        <f t="shared" si="222"/>
        <v>32</v>
      </c>
      <c r="BZ242" s="443">
        <f t="shared" si="223"/>
        <v>23.3125</v>
      </c>
      <c r="CA242" s="72">
        <v>1461</v>
      </c>
      <c r="CB242" s="76">
        <f t="shared" si="182"/>
        <v>108934.940625</v>
      </c>
      <c r="CC242" s="289">
        <f t="shared" si="228"/>
        <v>613.28125</v>
      </c>
      <c r="CD242" s="289">
        <f t="shared" si="229"/>
        <v>25.553385416666668</v>
      </c>
      <c r="CE242" s="761">
        <f t="shared" si="234"/>
        <v>676.0946990239421</v>
      </c>
      <c r="CF242" s="66"/>
      <c r="CG242" s="72">
        <f>CC242/(AVERAGE(BY242)*AVERAGE((D$232,D$227,D$206,D$225,D$212,D$213,D$219,D$234,D$238))*0.01)</f>
        <v>515.88178617510584</v>
      </c>
      <c r="CH242" s="433">
        <f t="shared" si="201"/>
        <v>0.82209282841823061</v>
      </c>
      <c r="CI242" s="66"/>
      <c r="CJ242" s="66"/>
      <c r="CK242" s="66"/>
      <c r="CL242" s="66"/>
      <c r="CM242" s="66"/>
      <c r="CN242" s="110"/>
    </row>
    <row r="243" spans="1:110" ht="15">
      <c r="A243" s="141">
        <f t="shared" si="194"/>
        <v>41398</v>
      </c>
      <c r="B243" s="307">
        <f t="shared" si="230"/>
        <v>0.33333333333333331</v>
      </c>
      <c r="C243" s="664">
        <f t="shared" si="174"/>
        <v>24</v>
      </c>
      <c r="D243" s="65"/>
      <c r="E243" s="66"/>
      <c r="F243" s="66"/>
      <c r="G243" s="66"/>
      <c r="H243" s="66"/>
      <c r="I243" s="66"/>
      <c r="J243" s="86"/>
      <c r="K243" s="86"/>
      <c r="L243" s="63"/>
      <c r="M243" s="86"/>
      <c r="N243" s="66"/>
      <c r="O243" s="265"/>
      <c r="P243" s="224"/>
      <c r="Q243" s="210"/>
      <c r="R243" s="225"/>
      <c r="S243" s="86"/>
      <c r="T243" s="86"/>
      <c r="U243" s="232"/>
      <c r="V243" s="65"/>
      <c r="W243" s="66"/>
      <c r="X243" s="66"/>
      <c r="Y243" s="66"/>
      <c r="Z243" s="66"/>
      <c r="AA243" s="86"/>
      <c r="AB243" s="86"/>
      <c r="AC243" s="63"/>
      <c r="AD243" s="87"/>
      <c r="AE243" s="87"/>
      <c r="AF243" s="87"/>
      <c r="AG243" s="66"/>
      <c r="AH243" s="66"/>
      <c r="AI243" s="64"/>
      <c r="AJ243" s="63"/>
      <c r="AK243" s="65"/>
      <c r="AL243" s="66">
        <v>35.6</v>
      </c>
      <c r="AM243" s="301">
        <v>4665</v>
      </c>
      <c r="AN243" s="672">
        <f t="shared" si="224"/>
        <v>60.480000000000004</v>
      </c>
      <c r="AO243" s="673">
        <f t="shared" si="225"/>
        <v>23.363095238095237</v>
      </c>
      <c r="AP243" s="72">
        <v>2662</v>
      </c>
      <c r="AQ243" s="76">
        <f t="shared" si="181"/>
        <v>198285.11250000002</v>
      </c>
      <c r="AR243" s="76">
        <f t="shared" si="226"/>
        <v>1025.8968750000058</v>
      </c>
      <c r="AS243" s="230">
        <f t="shared" si="231"/>
        <v>42.74570312500024</v>
      </c>
      <c r="AT243" s="72">
        <f t="shared" si="232"/>
        <v>579.69754610358734</v>
      </c>
      <c r="AU243" s="66"/>
      <c r="AV243" s="143">
        <f t="shared" si="233"/>
        <v>453.47685287846014</v>
      </c>
      <c r="AW243" s="511">
        <f t="shared" si="221"/>
        <v>0.7260416666666708</v>
      </c>
      <c r="AX243" s="66"/>
      <c r="AY243" s="66"/>
      <c r="AZ243" s="66"/>
      <c r="BA243" s="66"/>
      <c r="BB243" s="66"/>
      <c r="BC243" s="63"/>
      <c r="BD243" s="64"/>
      <c r="BE243" s="147"/>
      <c r="BF243" s="232"/>
      <c r="BG243" s="65"/>
      <c r="BH243" s="66"/>
      <c r="BI243" s="66"/>
      <c r="BJ243" s="66"/>
      <c r="BK243" s="66"/>
      <c r="BL243" s="86"/>
      <c r="BM243" s="86"/>
      <c r="BN243" s="63"/>
      <c r="BO243" s="87"/>
      <c r="BP243" s="87"/>
      <c r="BQ243" s="87"/>
      <c r="BR243" s="66"/>
      <c r="BS243" s="64"/>
      <c r="BT243" s="66"/>
      <c r="BU243" s="67"/>
      <c r="BV243" s="65"/>
      <c r="BW243" s="66">
        <v>51.1</v>
      </c>
      <c r="BX243" s="72">
        <v>2662</v>
      </c>
      <c r="BY243" s="443">
        <f t="shared" si="222"/>
        <v>26</v>
      </c>
      <c r="BZ243" s="443">
        <f t="shared" si="223"/>
        <v>28.692307692307693</v>
      </c>
      <c r="CA243" s="72">
        <v>1471</v>
      </c>
      <c r="CB243" s="76">
        <f t="shared" si="182"/>
        <v>109548.221875</v>
      </c>
      <c r="CC243" s="289">
        <f t="shared" si="228"/>
        <v>613.28125</v>
      </c>
      <c r="CD243" s="289">
        <f t="shared" si="229"/>
        <v>25.553385416666668</v>
      </c>
      <c r="CE243" s="761">
        <f t="shared" si="234"/>
        <v>722.72191964628303</v>
      </c>
      <c r="CF243" s="66"/>
      <c r="CG243" s="72">
        <f>CC243/(AVERAGE(BY243)*AVERAGE((D$232,D$227,D$206,D$225,D$212,D$213,D$219,D$234,D$238))*0.01)</f>
        <v>634.93142913859185</v>
      </c>
      <c r="CH243" s="433">
        <f t="shared" si="201"/>
        <v>0.82209282841823061</v>
      </c>
      <c r="CI243" s="66"/>
      <c r="CJ243" s="66"/>
      <c r="CK243" s="66"/>
      <c r="CL243" s="66"/>
      <c r="CM243" s="66"/>
      <c r="CN243" s="110"/>
    </row>
    <row r="244" spans="1:110" ht="15">
      <c r="A244" s="141">
        <f t="shared" si="194"/>
        <v>41399</v>
      </c>
      <c r="B244" s="307">
        <f t="shared" si="230"/>
        <v>0.33333333333333331</v>
      </c>
      <c r="C244" s="664">
        <f t="shared" si="174"/>
        <v>24</v>
      </c>
      <c r="D244" s="65"/>
      <c r="E244" s="66"/>
      <c r="F244" s="66"/>
      <c r="G244" s="66"/>
      <c r="H244" s="66"/>
      <c r="I244" s="66"/>
      <c r="J244" s="86"/>
      <c r="K244" s="86"/>
      <c r="L244" s="63"/>
      <c r="M244" s="86">
        <v>60</v>
      </c>
      <c r="N244" s="66">
        <v>90</v>
      </c>
      <c r="O244" s="265"/>
      <c r="P244" s="224">
        <f>(N244-M244)*P$2</f>
        <v>420</v>
      </c>
      <c r="Q244" s="210">
        <f>P244/((N244-M244)*N$4)</f>
        <v>2.7866242038216562</v>
      </c>
      <c r="R244" s="225">
        <f>10*Q244/(AVERAGE(D238,D234))</f>
        <v>7.1360414950618605</v>
      </c>
      <c r="S244" s="86"/>
      <c r="T244" s="86"/>
      <c r="U244" s="232"/>
      <c r="V244" s="65"/>
      <c r="W244" s="66"/>
      <c r="X244" s="66"/>
      <c r="Y244" s="66"/>
      <c r="Z244" s="66"/>
      <c r="AA244" s="86"/>
      <c r="AB244" s="86"/>
      <c r="AC244" s="63"/>
      <c r="AD244" s="87"/>
      <c r="AE244" s="87"/>
      <c r="AF244" s="87"/>
      <c r="AG244" s="66"/>
      <c r="AH244" s="66"/>
      <c r="AI244" s="64"/>
      <c r="AJ244" s="63"/>
      <c r="AK244" s="65"/>
      <c r="AL244" s="66">
        <v>35.6</v>
      </c>
      <c r="AM244" s="301">
        <v>4693</v>
      </c>
      <c r="AN244" s="672">
        <f t="shared" si="224"/>
        <v>60.480000000000004</v>
      </c>
      <c r="AO244" s="673">
        <f t="shared" si="225"/>
        <v>23.363095238095237</v>
      </c>
      <c r="AP244" s="72">
        <v>2678</v>
      </c>
      <c r="AQ244" s="76">
        <f t="shared" si="181"/>
        <v>199250.66250000001</v>
      </c>
      <c r="AR244" s="76">
        <f t="shared" si="226"/>
        <v>965.54999999998836</v>
      </c>
      <c r="AS244" s="230">
        <f t="shared" si="231"/>
        <v>40.231249999999513</v>
      </c>
      <c r="AT244" s="72">
        <f t="shared" si="232"/>
        <v>545.59769045042549</v>
      </c>
      <c r="AU244" s="66"/>
      <c r="AV244" s="143">
        <f t="shared" si="233"/>
        <v>426.80174388560198</v>
      </c>
      <c r="AW244" s="511">
        <f t="shared" si="221"/>
        <v>0.68333333333332513</v>
      </c>
      <c r="AX244" s="66"/>
      <c r="AY244" s="66"/>
      <c r="AZ244" s="66"/>
      <c r="BA244" s="66"/>
      <c r="BB244" s="66"/>
      <c r="BC244" s="63"/>
      <c r="BD244" s="64"/>
      <c r="BE244" s="147"/>
      <c r="BF244" s="232"/>
      <c r="BG244" s="65"/>
      <c r="BH244" s="66"/>
      <c r="BI244" s="66"/>
      <c r="BJ244" s="66"/>
      <c r="BK244" s="66"/>
      <c r="BL244" s="86"/>
      <c r="BM244" s="86"/>
      <c r="BN244" s="63"/>
      <c r="BO244" s="87"/>
      <c r="BP244" s="87"/>
      <c r="BQ244" s="87"/>
      <c r="BR244" s="66"/>
      <c r="BS244" s="64"/>
      <c r="BT244" s="66"/>
      <c r="BU244" s="67"/>
      <c r="BV244" s="65"/>
      <c r="BW244" s="66">
        <v>51.2</v>
      </c>
      <c r="BX244" s="72">
        <v>2679</v>
      </c>
      <c r="BY244" s="443">
        <f t="shared" si="222"/>
        <v>34</v>
      </c>
      <c r="BZ244" s="443">
        <f t="shared" si="223"/>
        <v>21.941176470588236</v>
      </c>
      <c r="CA244" s="72">
        <v>1479</v>
      </c>
      <c r="CB244" s="76">
        <f t="shared" si="182"/>
        <v>110038.846875</v>
      </c>
      <c r="CC244" s="289">
        <f t="shared" si="228"/>
        <v>490.625</v>
      </c>
      <c r="CD244" s="289">
        <f t="shared" si="229"/>
        <v>20.442708333333332</v>
      </c>
      <c r="CE244" s="761">
        <f t="shared" si="234"/>
        <v>558.9049511931255</v>
      </c>
      <c r="CF244" s="66"/>
      <c r="CG244" s="72">
        <f>CC244/(AVERAGE(BY244)*AVERAGE((D$232,D$227,D$206,D$225,D$212,D$213,D$219,D$234,D$238))*0.01)</f>
        <v>388.4286390024327</v>
      </c>
      <c r="CH244" s="433">
        <f t="shared" si="201"/>
        <v>0.6576742627345844</v>
      </c>
      <c r="CI244" s="66"/>
      <c r="CJ244" s="66"/>
      <c r="CK244" s="66"/>
      <c r="CL244" s="66"/>
      <c r="CM244" s="66"/>
      <c r="CN244" s="110"/>
    </row>
    <row r="245" spans="1:110" s="677" customFormat="1" ht="14.25" customHeight="1">
      <c r="A245" s="141">
        <f t="shared" si="194"/>
        <v>41400</v>
      </c>
      <c r="B245" s="826">
        <v>0.33333333333333331</v>
      </c>
      <c r="C245" s="664">
        <f t="shared" si="174"/>
        <v>24</v>
      </c>
      <c r="D245" s="665"/>
      <c r="E245" s="293"/>
      <c r="F245" s="301"/>
      <c r="G245" s="293"/>
      <c r="H245" s="293"/>
      <c r="I245" s="301"/>
      <c r="J245" s="772"/>
      <c r="K245" s="772"/>
      <c r="L245" s="299"/>
      <c r="M245" s="666"/>
      <c r="N245" s="293"/>
      <c r="O245" s="667"/>
      <c r="P245" s="773"/>
      <c r="Q245" s="774"/>
      <c r="R245" s="775"/>
      <c r="S245" s="666"/>
      <c r="T245" s="666"/>
      <c r="U245" s="666"/>
      <c r="V245" s="665"/>
      <c r="W245" s="293"/>
      <c r="X245" s="293"/>
      <c r="Y245" s="293"/>
      <c r="Z245" s="293"/>
      <c r="AA245" s="666"/>
      <c r="AB245" s="666"/>
      <c r="AC245" s="299"/>
      <c r="AD245" s="298"/>
      <c r="AE245" s="298"/>
      <c r="AF245" s="298"/>
      <c r="AG245" s="293"/>
      <c r="AH245" s="293"/>
      <c r="AI245" s="671"/>
      <c r="AJ245" s="299"/>
      <c r="AK245" s="665"/>
      <c r="AL245" s="293">
        <v>35.5</v>
      </c>
      <c r="AM245" s="301">
        <v>4721</v>
      </c>
      <c r="AN245" s="672">
        <f t="shared" si="224"/>
        <v>60.480000000000004</v>
      </c>
      <c r="AO245" s="673">
        <f t="shared" si="225"/>
        <v>23.363095238095237</v>
      </c>
      <c r="AP245" s="301">
        <v>2693</v>
      </c>
      <c r="AQ245" s="490">
        <f t="shared" si="181"/>
        <v>200155.86562500001</v>
      </c>
      <c r="AR245" s="76">
        <f t="shared" si="226"/>
        <v>905.203125</v>
      </c>
      <c r="AS245" s="230">
        <f t="shared" si="231"/>
        <v>37.716796875</v>
      </c>
      <c r="AT245" s="72">
        <f t="shared" si="232"/>
        <v>511.49783479728001</v>
      </c>
      <c r="AU245" s="776"/>
      <c r="AV245" s="143">
        <f t="shared" si="233"/>
        <v>400.12663489275667</v>
      </c>
      <c r="AW245" s="511">
        <f t="shared" si="221"/>
        <v>0.640625</v>
      </c>
      <c r="AX245" s="293"/>
      <c r="AY245" s="293"/>
      <c r="AZ245" s="293"/>
      <c r="BA245" s="293"/>
      <c r="BB245" s="293"/>
      <c r="BC245" s="299"/>
      <c r="BD245" s="671"/>
      <c r="BE245" s="296"/>
      <c r="BF245" s="666"/>
      <c r="BG245" s="665"/>
      <c r="BH245" s="293"/>
      <c r="BI245" s="293"/>
      <c r="BJ245" s="293"/>
      <c r="BK245" s="293"/>
      <c r="BL245" s="772"/>
      <c r="BM245" s="772"/>
      <c r="BN245" s="299"/>
      <c r="BO245" s="298"/>
      <c r="BP245" s="298"/>
      <c r="BQ245" s="298"/>
      <c r="BR245" s="293"/>
      <c r="BS245" s="671"/>
      <c r="BT245" s="293"/>
      <c r="BU245" s="675"/>
      <c r="BV245" s="665"/>
      <c r="BW245" s="293">
        <v>51.2</v>
      </c>
      <c r="BX245" s="72">
        <v>2697</v>
      </c>
      <c r="BY245" s="443">
        <f t="shared" si="222"/>
        <v>36</v>
      </c>
      <c r="BZ245" s="443">
        <f t="shared" si="223"/>
        <v>20.722222222222221</v>
      </c>
      <c r="CA245" s="72">
        <v>1488</v>
      </c>
      <c r="CB245" s="76">
        <f t="shared" si="182"/>
        <v>110590.8</v>
      </c>
      <c r="CC245" s="289">
        <f t="shared" si="228"/>
        <v>551.953125</v>
      </c>
      <c r="CD245" s="289">
        <f t="shared" si="229"/>
        <v>22.998046875</v>
      </c>
      <c r="CE245" s="761">
        <f t="shared" si="234"/>
        <v>538.94406007908526</v>
      </c>
      <c r="CF245" s="293"/>
      <c r="CG245" s="72">
        <f>CC245/(AVERAGE(BY245)*AVERAGE((D$232,D$227,D$206,D$225,D$212,D$213,D$219,D$234,D$238))*0.01)</f>
        <v>412.70542894008469</v>
      </c>
      <c r="CH245" s="433">
        <f t="shared" si="201"/>
        <v>0.73988354557640745</v>
      </c>
      <c r="CI245" s="293"/>
      <c r="CJ245" s="293"/>
      <c r="CK245" s="293"/>
      <c r="CL245" s="293"/>
      <c r="CM245" s="293"/>
      <c r="CN245" s="676"/>
    </row>
    <row r="246" spans="1:110" s="337" customFormat="1" ht="28.5">
      <c r="A246" s="309">
        <f t="shared" si="194"/>
        <v>41401</v>
      </c>
      <c r="B246" s="416">
        <v>0.33333333333333331</v>
      </c>
      <c r="C246" s="311">
        <f t="shared" si="174"/>
        <v>24</v>
      </c>
      <c r="D246" s="598">
        <v>3.2790464131336585</v>
      </c>
      <c r="E246" s="599">
        <v>84.021304926764131</v>
      </c>
      <c r="F246" s="319"/>
      <c r="G246" s="365">
        <v>6.03</v>
      </c>
      <c r="H246" s="319"/>
      <c r="I246" s="319"/>
      <c r="J246" s="317"/>
      <c r="K246" s="317"/>
      <c r="L246" s="320"/>
      <c r="M246" s="317">
        <v>70</v>
      </c>
      <c r="N246" s="319">
        <v>85</v>
      </c>
      <c r="O246" s="472"/>
      <c r="P246" s="763">
        <f>(N246-M246)*P$2</f>
        <v>210</v>
      </c>
      <c r="Q246" s="764">
        <f>P246/((N246-M246)*N$4)</f>
        <v>2.7866242038216562</v>
      </c>
      <c r="R246" s="765">
        <f>10*Q246/(AVERAGE(D238,D234))</f>
        <v>7.1360414950618605</v>
      </c>
      <c r="S246" s="317"/>
      <c r="T246" s="317"/>
      <c r="U246" s="757"/>
      <c r="V246" s="339">
        <v>2.14</v>
      </c>
      <c r="W246" s="365">
        <v>64.91</v>
      </c>
      <c r="X246" s="319"/>
      <c r="Y246" s="319"/>
      <c r="Z246" s="319"/>
      <c r="AA246" s="317"/>
      <c r="AB246" s="317"/>
      <c r="AC246" s="320"/>
      <c r="AD246" s="752">
        <f>D238*(100-E238)/(100-W246)</f>
        <v>2.4946793958392699</v>
      </c>
      <c r="AE246" s="753">
        <f>D238-V246</f>
        <v>1.8699999999999997</v>
      </c>
      <c r="AF246" s="754">
        <f>100*(AVERAGE(D$234,D$206,D$212,D$238,D$234,D$232,D$219,D$213,D$225,D$227)-V246)/AVERAGE(D$234,D$206,D$212,D$238,D$234,D$232,D$219,D$213,D$225,D$227)</f>
        <v>42.527274843030661</v>
      </c>
      <c r="AG246" s="754">
        <f>100*(1-((100-AVERAGE(E$234,E$206,E$212,E$238,E$199,E$227,E$232,E$213,E$219,E$225))/(100-W246)))</f>
        <v>39.55007088577095</v>
      </c>
      <c r="AH246" s="746">
        <f>E238-W246</f>
        <v>13.260000000000005</v>
      </c>
      <c r="AI246" s="754">
        <f>100*(1-((V246*W246)/(AVERAGE(D$234,D$206,D$212,D$238,D$232,D$225,D$213,D$219,D$227)*AVERAGE(E$234,E$206,E$212,E$238,E$227,E$232,E$213,E$219,E$225))))</f>
        <v>52.528285176643699</v>
      </c>
      <c r="AJ246" s="751">
        <f>100*100*((AVERAGE(E$234,E$206,E$212,E$204,E$199,E$227,E$232,E$213,E$219,E$225)-W246)/((100-W238)*AVERAGE(E$234,E$206,E$212,E$204,E$199,E$227,E$232,E$213,E$219,E$225)))</f>
        <v>52.571095580113493</v>
      </c>
      <c r="AK246" s="339">
        <v>7.2</v>
      </c>
      <c r="AL246" s="470">
        <v>34.6</v>
      </c>
      <c r="AM246" s="313">
        <v>4749</v>
      </c>
      <c r="AN246" s="327">
        <f t="shared" si="224"/>
        <v>60.480000000000004</v>
      </c>
      <c r="AO246" s="489">
        <f t="shared" si="225"/>
        <v>23.363095238095237</v>
      </c>
      <c r="AP246" s="313">
        <v>2709</v>
      </c>
      <c r="AQ246" s="348">
        <f t="shared" si="181"/>
        <v>201121.41562500002</v>
      </c>
      <c r="AR246" s="348">
        <f t="shared" si="226"/>
        <v>965.55000000001746</v>
      </c>
      <c r="AS246" s="512">
        <f t="shared" si="231"/>
        <v>40.231250000000728</v>
      </c>
      <c r="AT246" s="313">
        <f t="shared" si="232"/>
        <v>545.59769045044186</v>
      </c>
      <c r="AU246" s="348">
        <f>(AQ246-AQ217)/(AVERAGE(AN217:AN246)*((AVERAGE(D$219,D$232,D$227,D$225,D$234,D$238)*AVERAGE(E$219,E$232,E$227,E$225,E$234,E$238))-(V246*W246))*0.0001*(SUM(C217:C246)/24))</f>
        <v>1225.2606965857706</v>
      </c>
      <c r="AV246" s="328">
        <f t="shared" si="233"/>
        <v>426.80174388561483</v>
      </c>
      <c r="AW246" s="477">
        <f t="shared" si="221"/>
        <v>0.68333333333334567</v>
      </c>
      <c r="AX246" s="319">
        <v>66.5</v>
      </c>
      <c r="AY246" s="319">
        <v>29.8</v>
      </c>
      <c r="AZ246" s="319">
        <v>0</v>
      </c>
      <c r="BA246" s="319">
        <v>77</v>
      </c>
      <c r="BB246" s="319">
        <v>150</v>
      </c>
      <c r="BC246" s="320"/>
      <c r="BD246" s="368"/>
      <c r="BE246" s="330"/>
      <c r="BF246" s="757"/>
      <c r="BG246" s="339">
        <v>2.29</v>
      </c>
      <c r="BH246" s="365">
        <v>64.569999999999993</v>
      </c>
      <c r="BI246" s="319"/>
      <c r="BJ246" s="319"/>
      <c r="BK246" s="319"/>
      <c r="BL246" s="317"/>
      <c r="BM246" s="317"/>
      <c r="BN246" s="320"/>
      <c r="BO246" s="745">
        <f>D238*(100-E238)/(100-BH246)</f>
        <v>2.470739486311035</v>
      </c>
      <c r="BP246" s="746">
        <f>D238-BG246</f>
        <v>1.7199999999999998</v>
      </c>
      <c r="BQ246" s="747">
        <f>100*(AVERAGE(D$234,(0.95*D$206),D$212,D$204,D$238,D$232,D$227,D$213,D$219,D$225)-BG246)/AVERAGE(D$234,(0.95*D$206),D$212,D$204,D$238,D$232,D$227,D$213,D$219,D$225)</f>
        <v>37.568248212442775</v>
      </c>
      <c r="BR246" s="748">
        <f>100*(1-((100-AVERAGE(E$234,E$206,E$212,E$204,E$238,E$232,E$227,E$213,E$219,E$225))/(100-BH246)))</f>
        <v>39.901552000612583</v>
      </c>
      <c r="BS246" s="749">
        <f>E238-BH246</f>
        <v>13.600000000000009</v>
      </c>
      <c r="BT246" s="750">
        <f>100*(1-((BG246*BH246)/(AVERAGE(D$234,(0.95*D$206),D$212,D$204,D$238,D$232,D$227,D$213,D$219,D$225)*AVERAGE(E$234,E$206,E$212,E$204,E$238,E$232,E$227,E$213,E$219,E$225))))</f>
        <v>48.782038786511265</v>
      </c>
      <c r="BU246" s="751">
        <f>100*100*((AVERAGE(E$234,E$206,E$212,E$204,E$238,E$232,E$227,E$213,E$219,E$225)-BH246)/((100-BH246)*AVERAGE(E$234,E$206,E$212,E$204,E$238,E$232,E$227,E$213,E$219,E$225)))</f>
        <v>50.69624204847365</v>
      </c>
      <c r="BV246" s="318">
        <v>7.3</v>
      </c>
      <c r="BW246" s="365">
        <v>48.9</v>
      </c>
      <c r="BX246" s="313">
        <v>2700</v>
      </c>
      <c r="BY246" s="470">
        <f t="shared" si="222"/>
        <v>6</v>
      </c>
      <c r="BZ246" s="470">
        <f t="shared" si="223"/>
        <v>124.33333333333333</v>
      </c>
      <c r="CA246" s="313">
        <v>1495</v>
      </c>
      <c r="CB246" s="348">
        <f t="shared" si="182"/>
        <v>111020.096875</v>
      </c>
      <c r="CC246" s="828">
        <f t="shared" si="228"/>
        <v>429.296875</v>
      </c>
      <c r="CD246" s="828">
        <f t="shared" si="229"/>
        <v>17.887369791666668</v>
      </c>
      <c r="CE246" s="756">
        <f t="shared" si="234"/>
        <v>698.63118899140682</v>
      </c>
      <c r="CF246" s="313">
        <f>(CB246-CB217)/(AVERAGE(BY217:BY246)*((AVERAGE(D$213,D$232,D$234,D$219,D$225,D$227,D$212,D$238)*AVERAGE(E$213,E$232,E$234,E$219,E$225,E$227,E$212,D$238))-(BG246*BH246))*0.0001*(SUM(C217:C246)/24))</f>
        <v>1690.2810048307724</v>
      </c>
      <c r="CG246" s="377">
        <f>CC246/(AVERAGE(BY246,BY247)*AVERAGE((D$232,D$227,D$206,D$225,D$212,D$213,D$219,D$234,D$238))*0.01)</f>
        <v>412.70542894008469</v>
      </c>
      <c r="CH246" s="477">
        <f t="shared" si="201"/>
        <v>0.57546497989276135</v>
      </c>
      <c r="CI246" s="319">
        <v>66.099999999999994</v>
      </c>
      <c r="CJ246" s="319">
        <v>30.1</v>
      </c>
      <c r="CK246" s="319">
        <v>0</v>
      </c>
      <c r="CL246" s="319">
        <v>48</v>
      </c>
      <c r="CM246" s="319">
        <v>225</v>
      </c>
      <c r="CN246" s="445" t="s">
        <v>153</v>
      </c>
      <c r="CQ246" s="827"/>
      <c r="CR246" s="827"/>
      <c r="CS246" s="827"/>
      <c r="CT246" s="827"/>
      <c r="CU246" s="827"/>
      <c r="CV246" s="827"/>
      <c r="CW246" s="827"/>
      <c r="CX246" s="827"/>
      <c r="CY246" s="827"/>
      <c r="CZ246" s="827"/>
      <c r="DA246" s="827"/>
      <c r="DB246" s="827"/>
      <c r="DC246" s="827"/>
      <c r="DD246" s="827"/>
      <c r="DE246" s="827"/>
      <c r="DF246" s="827"/>
    </row>
    <row r="247" spans="1:110" ht="16.5" customHeight="1">
      <c r="A247" s="141">
        <f t="shared" si="194"/>
        <v>41402</v>
      </c>
      <c r="B247" s="307">
        <v>0.33333333333333331</v>
      </c>
      <c r="C247" s="304">
        <f t="shared" si="174"/>
        <v>24</v>
      </c>
      <c r="D247" s="65"/>
      <c r="E247" s="66"/>
      <c r="F247" s="66"/>
      <c r="G247" s="66"/>
      <c r="H247" s="66"/>
      <c r="I247" s="66"/>
      <c r="J247" s="86"/>
      <c r="K247" s="86"/>
      <c r="L247" s="63"/>
      <c r="M247" s="86"/>
      <c r="N247" s="66"/>
      <c r="O247" s="265"/>
      <c r="P247" s="224"/>
      <c r="Q247" s="210"/>
      <c r="R247" s="225"/>
      <c r="S247" s="86"/>
      <c r="T247" s="86"/>
      <c r="U247" s="86"/>
      <c r="V247" s="65"/>
      <c r="W247" s="66"/>
      <c r="X247" s="66"/>
      <c r="Y247" s="66"/>
      <c r="Z247" s="66"/>
      <c r="AA247" s="86"/>
      <c r="AB247" s="86"/>
      <c r="AC247" s="63"/>
      <c r="AD247" s="87"/>
      <c r="AE247" s="87"/>
      <c r="AF247" s="87"/>
      <c r="AG247" s="66"/>
      <c r="AH247" s="66"/>
      <c r="AI247" s="64"/>
      <c r="AJ247" s="63"/>
      <c r="AK247" s="65"/>
      <c r="AL247" s="66">
        <v>35.700000000000003</v>
      </c>
      <c r="AM247" s="72">
        <v>4777</v>
      </c>
      <c r="AN247" s="672">
        <f t="shared" si="224"/>
        <v>60.480000000000004</v>
      </c>
      <c r="AO247" s="673">
        <f t="shared" si="225"/>
        <v>23.363095238095237</v>
      </c>
      <c r="AP247" s="72">
        <v>2725</v>
      </c>
      <c r="AQ247" s="76">
        <f t="shared" si="181"/>
        <v>202086.96562500001</v>
      </c>
      <c r="AR247" s="76">
        <f t="shared" si="226"/>
        <v>965.54999999998836</v>
      </c>
      <c r="AS247" s="230">
        <f t="shared" si="231"/>
        <v>40.231249999999513</v>
      </c>
      <c r="AT247" s="72">
        <f>AR247/(AVERAGE(AN247)*(AVERAGE(D$232,D$227,D$246,D$225,D$212,D$213,D$219,D$234,D$238))*AVERAGE(E$232,E$227,E$246,E$225,E$212,E$213,E$219,E$234,E$238)*0.0001)</f>
        <v>546.75334339208018</v>
      </c>
      <c r="AU247" s="66"/>
      <c r="AV247" s="143">
        <f>AR247/(AVERAGE(AN247)*AVERAGE(D$232,D$227,D$246,D$225,D$212,D$213,D$219,D$234,D$238)*0.01)</f>
        <v>435.21718232584419</v>
      </c>
      <c r="AW247" s="511">
        <f t="shared" si="221"/>
        <v>0.68333333333332513</v>
      </c>
      <c r="AX247" s="66"/>
      <c r="AY247" s="66"/>
      <c r="AZ247" s="66"/>
      <c r="BA247" s="66"/>
      <c r="BB247" s="66"/>
      <c r="BC247" s="63"/>
      <c r="BD247" s="64"/>
      <c r="BE247" s="147"/>
      <c r="BF247" s="86"/>
      <c r="BG247" s="65"/>
      <c r="BH247" s="66"/>
      <c r="BI247" s="66"/>
      <c r="BJ247" s="66"/>
      <c r="BK247" s="66"/>
      <c r="BL247" s="86"/>
      <c r="BM247" s="86"/>
      <c r="BN247" s="63"/>
      <c r="BO247" s="87"/>
      <c r="BP247" s="87"/>
      <c r="BQ247" s="87"/>
      <c r="BR247" s="66"/>
      <c r="BS247" s="64"/>
      <c r="BT247" s="66"/>
      <c r="BU247" s="67"/>
      <c r="BV247" s="65"/>
      <c r="BW247" s="66">
        <v>51.2</v>
      </c>
      <c r="BX247" s="66">
        <v>2725</v>
      </c>
      <c r="BY247" s="443">
        <f t="shared" ref="BY247" si="235">(BX247-BX246)*CB$1/((C247)/24)</f>
        <v>50</v>
      </c>
      <c r="BZ247" s="443">
        <f t="shared" ref="BZ247" si="236">CB$3/BY247</f>
        <v>14.92</v>
      </c>
      <c r="CA247" s="72">
        <v>1504</v>
      </c>
      <c r="CB247" s="76">
        <f t="shared" si="182"/>
        <v>111572.05</v>
      </c>
      <c r="CC247" s="289">
        <f t="shared" ref="CC247:CC248" si="237">(CB247-CB246)/((C247/24))</f>
        <v>551.953125</v>
      </c>
      <c r="CD247" s="289">
        <f t="shared" ref="CD247:CD248" si="238">(CB247-CB246)/(C247)</f>
        <v>22.998046875</v>
      </c>
      <c r="CE247" s="761">
        <f>CC247/(AVERAGE(BY246,BY247)*(AVERAGE(D$232,D$227,D$246,D$225,D$212,D$213,D$219,D$234,D$238))*AVERAGE(E$232,E$227,E$246,E$225,E$212,E$213,E$219,E$234,E$238)*0.0001)</f>
        <v>675.10702461522908</v>
      </c>
      <c r="CF247" s="66"/>
      <c r="CG247" s="72">
        <f>CC247/(AVERAGE(BY247)*AVERAGE((D$232,D$227,D$246,D$225,D$212,D$213,D$219,D$234,D$238))*0.01)</f>
        <v>300.93675899848375</v>
      </c>
      <c r="CH247" s="433">
        <f t="shared" si="201"/>
        <v>0.73988354557640745</v>
      </c>
      <c r="CI247" s="66"/>
      <c r="CJ247" s="66"/>
      <c r="CK247" s="66"/>
      <c r="CL247" s="66"/>
      <c r="CM247" s="66"/>
      <c r="CN247" s="110"/>
      <c r="CP247" s="69"/>
      <c r="CQ247" s="69"/>
      <c r="CR247" s="69"/>
      <c r="CS247" s="69"/>
      <c r="CT247" s="69"/>
      <c r="CU247" s="69"/>
      <c r="CV247" s="69"/>
      <c r="CW247" s="69"/>
      <c r="CX247" s="69"/>
      <c r="CY247" s="69"/>
      <c r="CZ247" s="69"/>
      <c r="DA247" s="69"/>
      <c r="DB247" s="69"/>
      <c r="DC247" s="69"/>
      <c r="DD247" s="69"/>
      <c r="DE247" s="69"/>
      <c r="DF247" s="69"/>
    </row>
    <row r="248" spans="1:110" s="337" customFormat="1" ht="17.25" customHeight="1">
      <c r="A248" s="309">
        <f t="shared" si="194"/>
        <v>41403</v>
      </c>
      <c r="B248" s="310">
        <v>0.33333333333333331</v>
      </c>
      <c r="C248" s="311">
        <f t="shared" si="174"/>
        <v>24</v>
      </c>
      <c r="D248" s="339">
        <v>3.2</v>
      </c>
      <c r="E248" s="365">
        <v>76.099999999999994</v>
      </c>
      <c r="F248" s="377">
        <v>42800</v>
      </c>
      <c r="G248" s="365"/>
      <c r="H248" s="365"/>
      <c r="I248" s="377">
        <v>6506</v>
      </c>
      <c r="J248" s="910"/>
      <c r="K248" s="910"/>
      <c r="L248" s="911"/>
      <c r="M248" s="317">
        <v>55</v>
      </c>
      <c r="N248" s="319">
        <v>85</v>
      </c>
      <c r="O248" s="472"/>
      <c r="P248" s="763">
        <v>140</v>
      </c>
      <c r="Q248" s="764">
        <f>P248/((N248-M248)*N$4)</f>
        <v>0.9288747346072187</v>
      </c>
      <c r="R248" s="765">
        <f>10*Q248/(AVERAGE(D$246,D$238))</f>
        <v>2.5486865687493494</v>
      </c>
      <c r="S248" s="317"/>
      <c r="T248" s="317"/>
      <c r="U248" s="757"/>
      <c r="V248" s="339">
        <v>2.4</v>
      </c>
      <c r="W248" s="365">
        <v>66.099999999999994</v>
      </c>
      <c r="X248" s="365">
        <v>24500</v>
      </c>
      <c r="Y248" s="365"/>
      <c r="Z248" s="365">
        <v>2136</v>
      </c>
      <c r="AA248" s="829"/>
      <c r="AB248" s="829"/>
      <c r="AC248" s="911"/>
      <c r="AD248" s="376"/>
      <c r="AE248" s="372"/>
      <c r="AF248" s="374"/>
      <c r="AG248" s="367"/>
      <c r="AH248" s="347"/>
      <c r="AI248" s="372"/>
      <c r="AJ248" s="326"/>
      <c r="AK248" s="318"/>
      <c r="AL248" s="319">
        <v>35.700000000000003</v>
      </c>
      <c r="AM248" s="313">
        <v>4805</v>
      </c>
      <c r="AN248" s="327">
        <f t="shared" si="224"/>
        <v>60.480000000000004</v>
      </c>
      <c r="AO248" s="489">
        <f t="shared" si="225"/>
        <v>23.363095238095237</v>
      </c>
      <c r="AP248" s="313">
        <v>2743</v>
      </c>
      <c r="AQ248" s="348">
        <f t="shared" si="181"/>
        <v>203173.20937500001</v>
      </c>
      <c r="AR248" s="348">
        <f t="shared" si="226"/>
        <v>1086.2437499999942</v>
      </c>
      <c r="AS248" s="512">
        <f t="shared" si="231"/>
        <v>45.26015624999976</v>
      </c>
      <c r="AT248" s="313">
        <f t="shared" ref="AT248" si="239">AR248/(AVERAGE(AN248)*(AVERAGE(D$232,D$227,D$246,D$225,D$212,D$213,D$219,D$234,D$238))*AVERAGE(E$232,E$227,E$246,E$225,E$212,E$213,E$219,E$234,E$238)*0.0001)</f>
        <v>615.09751131609437</v>
      </c>
      <c r="AU248" s="367"/>
      <c r="AV248" s="328">
        <f t="shared" ref="AV248" si="240">AR248/(AVERAGE(AN248)*AVERAGE(D$232,D$227,D$246,D$225,D$212,D$213,D$219,D$234,D$238)*0.01)</f>
        <v>489.619330116578</v>
      </c>
      <c r="AW248" s="477">
        <f t="shared" si="221"/>
        <v>0.76874999999999583</v>
      </c>
      <c r="AX248" s="319"/>
      <c r="AY248" s="319"/>
      <c r="AZ248" s="319"/>
      <c r="BA248" s="319"/>
      <c r="BB248" s="319"/>
      <c r="BC248" s="320"/>
      <c r="BD248" s="368"/>
      <c r="BE248" s="330"/>
      <c r="BF248" s="757"/>
      <c r="BG248" s="339">
        <v>2.4</v>
      </c>
      <c r="BH248" s="365">
        <v>63.9</v>
      </c>
      <c r="BI248" s="828">
        <v>24100</v>
      </c>
      <c r="BJ248" s="365"/>
      <c r="BK248" s="828">
        <v>2960</v>
      </c>
      <c r="BL248" s="910"/>
      <c r="BM248" s="910"/>
      <c r="BN248" s="911"/>
      <c r="BO248" s="376"/>
      <c r="BP248" s="372"/>
      <c r="BQ248" s="374"/>
      <c r="BR248" s="367"/>
      <c r="BS248" s="879"/>
      <c r="BT248" s="347"/>
      <c r="BU248" s="389"/>
      <c r="BV248" s="318"/>
      <c r="BW248" s="319">
        <v>51.1</v>
      </c>
      <c r="BX248" s="319">
        <v>2745</v>
      </c>
      <c r="BY248" s="462">
        <f t="shared" ref="BY248" si="241">(BX248-BX247)*CB$1/((C248)/24)</f>
        <v>40</v>
      </c>
      <c r="BZ248" s="462">
        <f t="shared" ref="BZ248" si="242">CB$3/BY248</f>
        <v>18.649999999999999</v>
      </c>
      <c r="CA248" s="313">
        <v>1515</v>
      </c>
      <c r="CB248" s="348">
        <f t="shared" ref="CB248" si="243">((CA248-CA$55)*CB$2)+CB$55</f>
        <v>112246.659375</v>
      </c>
      <c r="CC248" s="334">
        <f t="shared" si="237"/>
        <v>674.609375</v>
      </c>
      <c r="CD248" s="334">
        <f t="shared" si="238"/>
        <v>28.108723958333332</v>
      </c>
      <c r="CE248" s="756">
        <f>CC248/(AVERAGE(BY247,BY248)*(AVERAGE(D$232,D$227,D$246,D$225,D$212,D$213,D$219,D$234,D$238))*AVERAGE(E$232,E$227,E$246,E$225,E$212,E$213,E$219,E$234,E$238)*0.0001)</f>
        <v>513.41472489256932</v>
      </c>
      <c r="CF248" s="463"/>
      <c r="CG248" s="313">
        <f>CC248/(AVERAGE(BY248)*AVERAGE((D$232,D$227,D$246,D$225,D$212,D$213,D$219,D$234,D$238))*0.01)</f>
        <v>459.76449291435011</v>
      </c>
      <c r="CH248" s="477">
        <f t="shared" si="201"/>
        <v>0.90430211126005366</v>
      </c>
      <c r="CI248" s="319"/>
      <c r="CJ248" s="319"/>
      <c r="CK248" s="319"/>
      <c r="CL248" s="319"/>
      <c r="CM248" s="319"/>
      <c r="CN248" s="442"/>
    </row>
    <row r="249" spans="1:110" ht="15">
      <c r="A249" s="141">
        <f t="shared" si="194"/>
        <v>41404</v>
      </c>
      <c r="B249" s="307">
        <v>0.33333333333333331</v>
      </c>
      <c r="C249" s="304">
        <f t="shared" ref="C249:C310" si="244">((A249-A248)+(B249-B248))*24</f>
        <v>24</v>
      </c>
      <c r="D249" s="65"/>
      <c r="E249" s="66"/>
      <c r="F249" s="66"/>
      <c r="G249" s="66"/>
      <c r="H249" s="66"/>
      <c r="I249" s="66"/>
      <c r="J249" s="86"/>
      <c r="K249" s="86"/>
      <c r="L249" s="63"/>
      <c r="M249" s="86"/>
      <c r="N249" s="66"/>
      <c r="O249" s="265"/>
      <c r="P249" s="224"/>
      <c r="Q249" s="210"/>
      <c r="R249" s="225"/>
      <c r="S249" s="234"/>
      <c r="T249" s="234"/>
      <c r="U249" s="231"/>
      <c r="V249" s="110"/>
      <c r="W249" s="110"/>
      <c r="X249" s="110"/>
      <c r="Y249" s="110"/>
      <c r="Z249" s="110"/>
      <c r="AA249" s="110"/>
      <c r="AB249" s="110"/>
      <c r="AC249" s="110"/>
      <c r="AD249" s="87"/>
      <c r="AE249" s="87"/>
      <c r="AF249" s="87"/>
      <c r="AG249" s="66"/>
      <c r="AH249" s="66"/>
      <c r="AI249" s="64"/>
      <c r="AJ249" s="63"/>
      <c r="AK249" s="65"/>
      <c r="AL249" s="66">
        <v>35.700000000000003</v>
      </c>
      <c r="AM249" s="72">
        <v>4832</v>
      </c>
      <c r="AN249" s="672">
        <f t="shared" si="224"/>
        <v>58.320000000000007</v>
      </c>
      <c r="AO249" s="673">
        <f t="shared" si="225"/>
        <v>24.228395061728392</v>
      </c>
      <c r="AP249" s="72">
        <v>2759</v>
      </c>
      <c r="AQ249" s="490">
        <f t="shared" si="181"/>
        <v>204138.75937500002</v>
      </c>
      <c r="AR249" s="76">
        <f t="shared" ref="AR249:AR261" si="245">(AQ249-AQ248)/(C249/24)</f>
        <v>965.55000000001746</v>
      </c>
      <c r="AS249" s="230">
        <f t="shared" ref="AS249:AS261" si="246">(AQ249-AQ248)/C249</f>
        <v>40.231250000000728</v>
      </c>
      <c r="AT249" s="72">
        <f>AR249/(AVERAGE(AN249)*(AVERAGE(D$232,D$227,D$246,D$225,D$248,D$213,D$219,D$234,D$238))*AVERAGE(E$232,E$227,E$246,E$225,E$248,E$213,E$219,E$234,E$238)*0.0001)</f>
        <v>574.60670188049698</v>
      </c>
      <c r="AU249" s="66"/>
      <c r="AV249" s="143">
        <f>AR249/(AVERAGE(AN249)*AVERAGE(D$232,D$227,D$246,D$225,D$248,D$213,D$219,D$234,D$238)*0.01)</f>
        <v>454.50273061926521</v>
      </c>
      <c r="AW249" s="511">
        <f t="shared" si="221"/>
        <v>0.68333333333334567</v>
      </c>
      <c r="AX249" s="66"/>
      <c r="AY249" s="66"/>
      <c r="AZ249" s="66"/>
      <c r="BA249" s="66"/>
      <c r="BB249" s="66"/>
      <c r="BC249" s="63"/>
      <c r="BD249" s="64"/>
      <c r="BE249" s="147"/>
      <c r="BF249" s="86"/>
      <c r="BG249" s="65"/>
      <c r="BH249" s="66"/>
      <c r="BI249" s="66"/>
      <c r="BJ249" s="66"/>
      <c r="BK249" s="66"/>
      <c r="BL249" s="86"/>
      <c r="BM249" s="86"/>
      <c r="BN249" s="63"/>
      <c r="BO249" s="87"/>
      <c r="BP249" s="87"/>
      <c r="BQ249" s="87"/>
      <c r="BR249" s="66"/>
      <c r="BS249" s="64"/>
      <c r="BT249" s="66"/>
      <c r="BU249" s="67"/>
      <c r="BV249" s="65"/>
      <c r="BW249" s="66">
        <v>51.1</v>
      </c>
      <c r="BX249" s="66">
        <v>2761</v>
      </c>
      <c r="BY249" s="443">
        <f t="shared" ref="BY249:BY261" si="247">(BX249-BX248)*CB$1/((C249)/24)</f>
        <v>32</v>
      </c>
      <c r="BZ249" s="443">
        <f t="shared" ref="BZ249:BZ261" si="248">CB$3/BY249</f>
        <v>23.3125</v>
      </c>
      <c r="CA249" s="72">
        <v>1525</v>
      </c>
      <c r="CB249" s="76">
        <f t="shared" ref="CB249:CB308" si="249">((CA249-CA$55)*CB$2)+CB$55</f>
        <v>112859.940625</v>
      </c>
      <c r="CC249" s="289">
        <f t="shared" ref="CC249:CC261" si="250">(CB249-CB248)/((C249/24))</f>
        <v>613.28125</v>
      </c>
      <c r="CD249" s="289">
        <f t="shared" si="229"/>
        <v>25.553385416666668</v>
      </c>
      <c r="CE249" s="761">
        <f>CC249/(AVERAGE(BY248,BY249)*(AVERAGE(D$232,D$227,D$246,D$225,D$248,D$213,D$219,D$234,D$238))*AVERAGE(E$232,E$227,E$246,E$225,E$248,E$213,E$219,E$234,E$238)*0.0001)</f>
        <v>591.24927403861045</v>
      </c>
      <c r="CF249" s="66"/>
      <c r="CG249" s="72">
        <f>CC249/(AVERAGE(BY249)*AVERAGE((D$232,D$227,D$246,D$225,D$248,D$213,D$219,D$234,D$238))*0.01)</f>
        <v>526.12501686585108</v>
      </c>
      <c r="CH249" s="433">
        <f t="shared" si="201"/>
        <v>0.82209282841823061</v>
      </c>
      <c r="CI249" s="66"/>
      <c r="CJ249" s="66"/>
      <c r="CK249" s="66"/>
      <c r="CL249" s="66"/>
      <c r="CM249" s="66"/>
      <c r="CN249" s="110"/>
    </row>
    <row r="250" spans="1:110" ht="15">
      <c r="A250" s="141">
        <f t="shared" si="194"/>
        <v>41405</v>
      </c>
      <c r="B250" s="307">
        <v>0.33333333333333331</v>
      </c>
      <c r="C250" s="304">
        <f t="shared" si="244"/>
        <v>24</v>
      </c>
      <c r="D250" s="65"/>
      <c r="E250" s="66"/>
      <c r="F250" s="66"/>
      <c r="G250" s="66"/>
      <c r="H250" s="66"/>
      <c r="I250" s="66"/>
      <c r="J250" s="86"/>
      <c r="K250" s="86"/>
      <c r="L250" s="63"/>
      <c r="M250" s="86">
        <v>65</v>
      </c>
      <c r="N250" s="66">
        <v>85</v>
      </c>
      <c r="O250" s="265"/>
      <c r="P250" s="65">
        <v>210</v>
      </c>
      <c r="Q250" s="210">
        <f>P250/((N250-M250)*N$4)</f>
        <v>2.0899681528662422</v>
      </c>
      <c r="R250" s="225">
        <f>10*Q250/(AVERAGE(D$246,D$248))</f>
        <v>6.4514683785245701</v>
      </c>
      <c r="S250" s="86"/>
      <c r="T250" s="86"/>
      <c r="U250" s="232"/>
      <c r="V250" s="65"/>
      <c r="W250" s="66"/>
      <c r="X250" s="66"/>
      <c r="Y250" s="66"/>
      <c r="Z250" s="66"/>
      <c r="AA250" s="86"/>
      <c r="AB250" s="86"/>
      <c r="AC250" s="63"/>
      <c r="AD250" s="87"/>
      <c r="AE250" s="87"/>
      <c r="AF250" s="87"/>
      <c r="AG250" s="66"/>
      <c r="AH250" s="66"/>
      <c r="AI250" s="64"/>
      <c r="AJ250" s="63"/>
      <c r="AK250" s="65"/>
      <c r="AL250" s="66">
        <v>35.5</v>
      </c>
      <c r="AM250" s="72">
        <v>4861</v>
      </c>
      <c r="AN250" s="672">
        <f t="shared" si="224"/>
        <v>62.64</v>
      </c>
      <c r="AO250" s="673">
        <f t="shared" si="225"/>
        <v>22.557471264367816</v>
      </c>
      <c r="AP250" s="72">
        <v>2776</v>
      </c>
      <c r="AQ250" s="490">
        <f t="shared" si="181"/>
        <v>205164.65625000003</v>
      </c>
      <c r="AR250" s="76">
        <f t="shared" si="245"/>
        <v>1025.8968750000058</v>
      </c>
      <c r="AS250" s="230">
        <f t="shared" si="246"/>
        <v>42.74570312500024</v>
      </c>
      <c r="AT250" s="72">
        <f t="shared" ref="AT250:AT254" si="251">AR250/(AVERAGE(AN250)*(AVERAGE(D$232,D$227,D$246,D$225,D$248,D$213,D$219,D$234,D$238))*AVERAGE(E$232,E$227,E$246,E$225,E$248,E$213,E$219,E$234,E$238)*0.0001)</f>
        <v>568.41481931712258</v>
      </c>
      <c r="AU250" s="66"/>
      <c r="AV250" s="143">
        <f t="shared" ref="AV250:AV254" si="252">AR250/(AVERAGE(AN250)*AVERAGE(D$232,D$227,D$246,D$225,D$248,D$213,D$219,D$234,D$238)*0.01)</f>
        <v>449.6050718841384</v>
      </c>
      <c r="AW250" s="511">
        <f t="shared" si="221"/>
        <v>0.7260416666666708</v>
      </c>
      <c r="AX250" s="66"/>
      <c r="AY250" s="66"/>
      <c r="AZ250" s="66"/>
      <c r="BA250" s="66"/>
      <c r="BB250" s="66"/>
      <c r="BC250" s="63"/>
      <c r="BD250" s="64"/>
      <c r="BE250" s="147"/>
      <c r="BF250" s="232"/>
      <c r="BG250" s="65"/>
      <c r="BH250" s="66"/>
      <c r="BI250" s="66"/>
      <c r="BJ250" s="66"/>
      <c r="BK250" s="66"/>
      <c r="BL250" s="86"/>
      <c r="BM250" s="86"/>
      <c r="BN250" s="63"/>
      <c r="BO250" s="87"/>
      <c r="BP250" s="87"/>
      <c r="BQ250" s="87"/>
      <c r="BR250" s="66"/>
      <c r="BS250" s="64"/>
      <c r="BT250" s="66"/>
      <c r="BU250" s="67"/>
      <c r="BV250" s="65"/>
      <c r="BW250" s="66">
        <v>51.2</v>
      </c>
      <c r="BX250" s="66">
        <v>2777</v>
      </c>
      <c r="BY250" s="443">
        <f t="shared" si="247"/>
        <v>32</v>
      </c>
      <c r="BZ250" s="443">
        <f t="shared" si="248"/>
        <v>23.3125</v>
      </c>
      <c r="CA250" s="72">
        <v>1534</v>
      </c>
      <c r="CB250" s="76">
        <f t="shared" si="249"/>
        <v>113411.89375</v>
      </c>
      <c r="CC250" s="289">
        <f t="shared" si="250"/>
        <v>551.953125</v>
      </c>
      <c r="CD250" s="289">
        <f t="shared" si="229"/>
        <v>22.998046875</v>
      </c>
      <c r="CE250" s="761">
        <f t="shared" ref="CE250:CE255" si="253">CC250/(AVERAGE(BY249,BY250)*(AVERAGE(D$232,D$227,D$246,D$225,D$248,D$213,D$219,D$234,D$238))*AVERAGE(E$232,E$227,E$246,E$225,E$248,E$213,E$219,E$234,E$238)*0.0001)</f>
        <v>598.63988996409307</v>
      </c>
      <c r="CF250" s="66"/>
      <c r="CG250" s="72">
        <f>CC250/(AVERAGE(BY250)*AVERAGE((D$232,D$227,D$246,D$225,D$248,D$213,D$219,D$234,D$238))*0.01)</f>
        <v>473.51251517926602</v>
      </c>
      <c r="CH250" s="433">
        <f t="shared" si="201"/>
        <v>0.73988354557640745</v>
      </c>
      <c r="CI250" s="66"/>
      <c r="CJ250" s="66"/>
      <c r="CK250" s="66"/>
      <c r="CL250" s="66"/>
      <c r="CM250" s="66"/>
      <c r="CN250" s="110"/>
    </row>
    <row r="251" spans="1:110" ht="15">
      <c r="A251" s="141">
        <f t="shared" si="194"/>
        <v>41406</v>
      </c>
      <c r="B251" s="307">
        <v>0.33333333333333331</v>
      </c>
      <c r="C251" s="304">
        <f t="shared" si="244"/>
        <v>24</v>
      </c>
      <c r="D251" s="65"/>
      <c r="E251" s="66"/>
      <c r="F251" s="66"/>
      <c r="G251" s="66"/>
      <c r="H251" s="66"/>
      <c r="I251" s="66"/>
      <c r="J251" s="86"/>
      <c r="K251" s="86"/>
      <c r="L251" s="63"/>
      <c r="M251" s="86"/>
      <c r="N251" s="66"/>
      <c r="O251" s="265"/>
      <c r="P251" s="224"/>
      <c r="Q251" s="210"/>
      <c r="R251" s="225"/>
      <c r="S251" s="86"/>
      <c r="T251" s="86"/>
      <c r="U251" s="86"/>
      <c r="V251" s="65"/>
      <c r="W251" s="66"/>
      <c r="X251" s="66"/>
      <c r="Y251" s="66"/>
      <c r="Z251" s="66"/>
      <c r="AA251" s="86"/>
      <c r="AB251" s="86"/>
      <c r="AC251" s="63"/>
      <c r="AD251" s="87"/>
      <c r="AE251" s="87"/>
      <c r="AF251" s="87"/>
      <c r="AG251" s="66"/>
      <c r="AH251" s="66"/>
      <c r="AI251" s="64"/>
      <c r="AJ251" s="63"/>
      <c r="AK251" s="65"/>
      <c r="AL251" s="66">
        <v>35.700000000000003</v>
      </c>
      <c r="AM251" s="72">
        <v>4889</v>
      </c>
      <c r="AN251" s="672">
        <f t="shared" si="224"/>
        <v>60.480000000000004</v>
      </c>
      <c r="AO251" s="673">
        <f t="shared" si="225"/>
        <v>23.363095238095237</v>
      </c>
      <c r="AP251" s="72">
        <v>2792</v>
      </c>
      <c r="AQ251" s="490">
        <f t="shared" si="181"/>
        <v>206130.20625000002</v>
      </c>
      <c r="AR251" s="76">
        <f t="shared" si="245"/>
        <v>965.54999999998836</v>
      </c>
      <c r="AS251" s="230">
        <f t="shared" si="246"/>
        <v>40.231249999999513</v>
      </c>
      <c r="AT251" s="72">
        <f t="shared" si="251"/>
        <v>554.08503395617674</v>
      </c>
      <c r="AU251" s="66"/>
      <c r="AV251" s="143">
        <f t="shared" si="252"/>
        <v>438.27049023999257</v>
      </c>
      <c r="AW251" s="511">
        <f t="shared" si="221"/>
        <v>0.68333333333332513</v>
      </c>
      <c r="AX251" s="116"/>
      <c r="AY251" s="116"/>
      <c r="AZ251" s="116"/>
      <c r="BA251" s="116"/>
      <c r="BB251" s="116"/>
      <c r="BC251" s="63"/>
      <c r="BD251" s="64"/>
      <c r="BE251" s="147"/>
      <c r="BF251" s="86"/>
      <c r="BG251" s="65"/>
      <c r="BH251" s="66"/>
      <c r="BI251" s="66"/>
      <c r="BJ251" s="66"/>
      <c r="BK251" s="66"/>
      <c r="BL251" s="86"/>
      <c r="BM251" s="86"/>
      <c r="BN251" s="63"/>
      <c r="BO251" s="87"/>
      <c r="BP251" s="87"/>
      <c r="BQ251" s="87"/>
      <c r="BR251" s="66"/>
      <c r="BS251" s="64"/>
      <c r="BT251" s="66"/>
      <c r="BU251" s="67"/>
      <c r="BV251" s="65"/>
      <c r="BW251" s="66">
        <v>51.1</v>
      </c>
      <c r="BX251" s="66">
        <v>2793</v>
      </c>
      <c r="BY251" s="443">
        <f t="shared" si="247"/>
        <v>32</v>
      </c>
      <c r="BZ251" s="443">
        <f t="shared" si="248"/>
        <v>23.3125</v>
      </c>
      <c r="CA251" s="72">
        <v>1544</v>
      </c>
      <c r="CB251" s="76">
        <f t="shared" si="249"/>
        <v>114025.175</v>
      </c>
      <c r="CC251" s="289">
        <f t="shared" si="250"/>
        <v>613.28125</v>
      </c>
      <c r="CD251" s="289">
        <f t="shared" si="229"/>
        <v>25.553385416666668</v>
      </c>
      <c r="CE251" s="761">
        <f t="shared" si="253"/>
        <v>665.15543329343677</v>
      </c>
      <c r="CF251" s="66"/>
      <c r="CG251" s="72">
        <f>CC251/(AVERAGE(BY251)*AVERAGE((D$232,D$227,D$246,D$225,D$248,D$213,D$219,D$234,D$238))*0.01)</f>
        <v>526.12501686585108</v>
      </c>
      <c r="CH251" s="433">
        <f t="shared" si="201"/>
        <v>0.82209282841823061</v>
      </c>
      <c r="CI251" s="116"/>
      <c r="CJ251" s="116"/>
      <c r="CK251" s="116"/>
      <c r="CL251" s="116"/>
      <c r="CM251" s="116"/>
      <c r="CN251" s="110"/>
    </row>
    <row r="252" spans="1:110" ht="15">
      <c r="A252" s="141">
        <f t="shared" si="194"/>
        <v>41407</v>
      </c>
      <c r="B252" s="307">
        <v>0.33333333333333331</v>
      </c>
      <c r="C252" s="304">
        <f t="shared" si="244"/>
        <v>24</v>
      </c>
      <c r="D252" s="65"/>
      <c r="E252" s="66"/>
      <c r="F252" s="66"/>
      <c r="G252" s="66"/>
      <c r="H252" s="66"/>
      <c r="I252" s="66"/>
      <c r="J252" s="86"/>
      <c r="K252" s="86"/>
      <c r="L252" s="63"/>
      <c r="M252" s="86">
        <v>55</v>
      </c>
      <c r="N252" s="66">
        <v>85</v>
      </c>
      <c r="O252" s="265"/>
      <c r="P252" s="224">
        <v>420</v>
      </c>
      <c r="Q252" s="210">
        <f>P252/((N252-M252)*N$4)</f>
        <v>2.7866242038216562</v>
      </c>
      <c r="R252" s="225">
        <f>10*Q252/(AVERAGE(D$246,D$248))</f>
        <v>8.6019578380327602</v>
      </c>
      <c r="S252" s="86"/>
      <c r="T252" s="86"/>
      <c r="U252" s="232"/>
      <c r="V252" s="65"/>
      <c r="W252" s="66"/>
      <c r="X252" s="66"/>
      <c r="Y252" s="66"/>
      <c r="Z252" s="66"/>
      <c r="AA252" s="86"/>
      <c r="AB252" s="86"/>
      <c r="AC252" s="63"/>
      <c r="AD252" s="87"/>
      <c r="AE252" s="87"/>
      <c r="AF252" s="87"/>
      <c r="AG252" s="66"/>
      <c r="AH252" s="66"/>
      <c r="AI252" s="64"/>
      <c r="AJ252" s="63"/>
      <c r="AK252" s="65"/>
      <c r="AL252" s="66">
        <v>35.6</v>
      </c>
      <c r="AM252" s="72">
        <v>4917</v>
      </c>
      <c r="AN252" s="672">
        <f t="shared" si="224"/>
        <v>60.480000000000004</v>
      </c>
      <c r="AO252" s="673">
        <f t="shared" si="225"/>
        <v>23.363095238095237</v>
      </c>
      <c r="AP252" s="72">
        <v>2806</v>
      </c>
      <c r="AQ252" s="490">
        <f t="shared" si="181"/>
        <v>206975.06250000003</v>
      </c>
      <c r="AR252" s="76">
        <f t="shared" si="245"/>
        <v>844.85625000001164</v>
      </c>
      <c r="AS252" s="230">
        <f t="shared" si="246"/>
        <v>35.202343750000487</v>
      </c>
      <c r="AT252" s="72">
        <f t="shared" si="251"/>
        <v>484.82440471166723</v>
      </c>
      <c r="AU252" s="66"/>
      <c r="AV252" s="143">
        <f t="shared" si="252"/>
        <v>383.48667896000342</v>
      </c>
      <c r="AW252" s="511">
        <f t="shared" si="221"/>
        <v>0.59791666666667487</v>
      </c>
      <c r="AX252" s="116"/>
      <c r="AY252" s="116"/>
      <c r="AZ252" s="116"/>
      <c r="BA252" s="116"/>
      <c r="BB252" s="116"/>
      <c r="BC252" s="63"/>
      <c r="BD252" s="64"/>
      <c r="BE252" s="147"/>
      <c r="BF252" s="232"/>
      <c r="BG252" s="65"/>
      <c r="BH252" s="66"/>
      <c r="BI252" s="66"/>
      <c r="BJ252" s="66"/>
      <c r="BK252" s="66"/>
      <c r="BL252" s="86"/>
      <c r="BM252" s="86"/>
      <c r="BN252" s="63"/>
      <c r="BO252" s="87"/>
      <c r="BP252" s="87"/>
      <c r="BQ252" s="87"/>
      <c r="BR252" s="66"/>
      <c r="BS252" s="64"/>
      <c r="BT252" s="66"/>
      <c r="BU252" s="67"/>
      <c r="BV252" s="65"/>
      <c r="BW252" s="66">
        <v>51</v>
      </c>
      <c r="BX252" s="66">
        <v>2808</v>
      </c>
      <c r="BY252" s="443">
        <f t="shared" si="247"/>
        <v>30</v>
      </c>
      <c r="BZ252" s="443">
        <f t="shared" si="248"/>
        <v>24.866666666666667</v>
      </c>
      <c r="CA252" s="72">
        <v>1551</v>
      </c>
      <c r="CB252" s="76">
        <f t="shared" si="249"/>
        <v>114454.471875</v>
      </c>
      <c r="CC252" s="289">
        <f t="shared" si="250"/>
        <v>429.296875</v>
      </c>
      <c r="CD252" s="289">
        <f t="shared" si="229"/>
        <v>17.887369791666668</v>
      </c>
      <c r="CE252" s="761">
        <f t="shared" si="253"/>
        <v>480.6284421217091</v>
      </c>
      <c r="CF252" s="66"/>
      <c r="CG252" s="72">
        <f>CC252/(AVERAGE(BY252)*AVERAGE((D$232,D$227,D$246,D$225,D$248,D$213,D$219,D$234,D$238))*0.01)</f>
        <v>392.84001259316886</v>
      </c>
      <c r="CH252" s="433">
        <f t="shared" si="201"/>
        <v>0.57546497989276135</v>
      </c>
      <c r="CI252" s="116"/>
      <c r="CJ252" s="116"/>
      <c r="CK252" s="116"/>
      <c r="CL252" s="116"/>
      <c r="CM252" s="116"/>
      <c r="CN252" s="110"/>
    </row>
    <row r="253" spans="1:110" ht="15">
      <c r="A253" s="141">
        <f t="shared" si="194"/>
        <v>41408</v>
      </c>
      <c r="B253" s="307">
        <v>0.33333333333333331</v>
      </c>
      <c r="C253" s="304">
        <f t="shared" si="244"/>
        <v>24</v>
      </c>
      <c r="D253" s="65"/>
      <c r="E253" s="66"/>
      <c r="F253" s="66"/>
      <c r="G253" s="66"/>
      <c r="H253" s="66"/>
      <c r="I253" s="66"/>
      <c r="J253" s="86"/>
      <c r="K253" s="86"/>
      <c r="L253" s="63"/>
      <c r="M253" s="86">
        <v>70</v>
      </c>
      <c r="N253" s="66">
        <v>85</v>
      </c>
      <c r="O253" s="265"/>
      <c r="P253" s="224"/>
      <c r="Q253" s="210"/>
      <c r="R253" s="225"/>
      <c r="S253" s="86"/>
      <c r="T253" s="86"/>
      <c r="U253" s="86"/>
      <c r="V253" s="65"/>
      <c r="W253" s="66"/>
      <c r="X253" s="66"/>
      <c r="Y253" s="66"/>
      <c r="Z253" s="66"/>
      <c r="AA253" s="86"/>
      <c r="AB253" s="86"/>
      <c r="AC253" s="63"/>
      <c r="AD253" s="87"/>
      <c r="AE253" s="87"/>
      <c r="AF253" s="87"/>
      <c r="AG253" s="66"/>
      <c r="AH253" s="66"/>
      <c r="AI253" s="64"/>
      <c r="AJ253" s="63"/>
      <c r="AK253" s="65"/>
      <c r="AL253" s="66">
        <v>35.6</v>
      </c>
      <c r="AM253" s="72">
        <v>4945</v>
      </c>
      <c r="AN253" s="672">
        <f t="shared" si="224"/>
        <v>60.480000000000004</v>
      </c>
      <c r="AO253" s="673">
        <f t="shared" si="225"/>
        <v>23.363095238095237</v>
      </c>
      <c r="AP253" s="72">
        <v>2822</v>
      </c>
      <c r="AQ253" s="490">
        <f t="shared" si="181"/>
        <v>207940.61250000002</v>
      </c>
      <c r="AR253" s="76">
        <f t="shared" si="245"/>
        <v>965.54999999998836</v>
      </c>
      <c r="AS253" s="230">
        <f t="shared" si="246"/>
        <v>40.231249999999513</v>
      </c>
      <c r="AT253" s="72">
        <f t="shared" si="251"/>
        <v>554.08503395617674</v>
      </c>
      <c r="AU253" s="66"/>
      <c r="AV253" s="143">
        <f t="shared" si="252"/>
        <v>438.27049023999257</v>
      </c>
      <c r="AW253" s="511">
        <f t="shared" si="221"/>
        <v>0.68333333333332513</v>
      </c>
      <c r="AX253" s="66"/>
      <c r="AY253" s="66"/>
      <c r="AZ253" s="66"/>
      <c r="BA253" s="66"/>
      <c r="BB253" s="66"/>
      <c r="BC253" s="63"/>
      <c r="BD253" s="64"/>
      <c r="BE253" s="147"/>
      <c r="BF253" s="86"/>
      <c r="BG253" s="65"/>
      <c r="BH253" s="66"/>
      <c r="BI253" s="66"/>
      <c r="BJ253" s="66"/>
      <c r="BK253" s="66"/>
      <c r="BL253" s="86"/>
      <c r="BM253" s="86"/>
      <c r="BN253" s="63"/>
      <c r="BO253" s="87"/>
      <c r="BP253" s="87"/>
      <c r="BQ253" s="87"/>
      <c r="BR253" s="66"/>
      <c r="BS253" s="64"/>
      <c r="BT253" s="66"/>
      <c r="BU253" s="67"/>
      <c r="BV253" s="65"/>
      <c r="BW253" s="66">
        <v>51</v>
      </c>
      <c r="BX253" s="66">
        <v>2825</v>
      </c>
      <c r="BY253" s="443">
        <f t="shared" si="247"/>
        <v>34</v>
      </c>
      <c r="BZ253" s="443">
        <f t="shared" si="248"/>
        <v>21.941176470588236</v>
      </c>
      <c r="CA253" s="72">
        <v>1559</v>
      </c>
      <c r="CB253" s="76">
        <f t="shared" si="249"/>
        <v>114945.096875</v>
      </c>
      <c r="CC253" s="289">
        <f t="shared" si="250"/>
        <v>490.625</v>
      </c>
      <c r="CD253" s="289">
        <f t="shared" si="229"/>
        <v>20.442708333333332</v>
      </c>
      <c r="CE253" s="761">
        <f t="shared" si="253"/>
        <v>532.12434663474949</v>
      </c>
      <c r="CF253" s="66"/>
      <c r="CG253" s="72">
        <f>CC253/(AVERAGE(BY253)*AVERAGE((D$232,D$227,D$246,D$225,D$248,D$213,D$219,D$234,D$238))*0.01)</f>
        <v>396.14118916958205</v>
      </c>
      <c r="CH253" s="433">
        <f t="shared" si="201"/>
        <v>0.6576742627345844</v>
      </c>
      <c r="CI253" s="147"/>
      <c r="CJ253" s="147"/>
      <c r="CK253" s="147"/>
      <c r="CL253" s="147"/>
      <c r="CM253" s="147"/>
      <c r="CN253" s="110"/>
    </row>
    <row r="254" spans="1:110" s="94" customFormat="1" ht="15">
      <c r="A254" s="141">
        <f t="shared" si="194"/>
        <v>41409</v>
      </c>
      <c r="B254" s="307">
        <v>0.33333333333333331</v>
      </c>
      <c r="C254" s="304">
        <f t="shared" si="244"/>
        <v>24</v>
      </c>
      <c r="D254" s="305"/>
      <c r="E254" s="364"/>
      <c r="F254" s="364"/>
      <c r="G254" s="364">
        <v>6.43</v>
      </c>
      <c r="H254" s="66"/>
      <c r="I254" s="66"/>
      <c r="J254" s="86"/>
      <c r="K254" s="86"/>
      <c r="L254" s="63"/>
      <c r="M254" s="86"/>
      <c r="N254" s="66">
        <v>82</v>
      </c>
      <c r="O254" s="265"/>
      <c r="P254" s="224">
        <v>140</v>
      </c>
      <c r="Q254" s="210">
        <f>P254/((N254-M254)*N$4)</f>
        <v>0.33983221997825075</v>
      </c>
      <c r="R254" s="225">
        <f>10*Q254/(AVERAGE(D$246,D$248))</f>
        <v>1.0490192485405805</v>
      </c>
      <c r="S254" s="86"/>
      <c r="T254" s="86"/>
      <c r="U254" s="232"/>
      <c r="V254" s="65"/>
      <c r="W254" s="66"/>
      <c r="X254" s="66"/>
      <c r="Y254" s="66"/>
      <c r="Z254" s="66"/>
      <c r="AA254" s="86"/>
      <c r="AB254" s="86"/>
      <c r="AC254" s="63"/>
      <c r="AD254" s="865"/>
      <c r="AE254" s="866"/>
      <c r="AF254" s="867"/>
      <c r="AG254" s="867"/>
      <c r="AH254" s="868"/>
      <c r="AI254" s="867"/>
      <c r="AJ254" s="869"/>
      <c r="AK254" s="305">
        <v>7.16</v>
      </c>
      <c r="AL254" s="364">
        <v>34.9</v>
      </c>
      <c r="AM254" s="72">
        <v>4973</v>
      </c>
      <c r="AN254" s="89">
        <f t="shared" si="224"/>
        <v>60.480000000000004</v>
      </c>
      <c r="AO254" s="488">
        <f t="shared" si="225"/>
        <v>23.363095238095237</v>
      </c>
      <c r="AP254" s="72">
        <v>2835</v>
      </c>
      <c r="AQ254" s="76">
        <f t="shared" si="181"/>
        <v>208725.12187500001</v>
      </c>
      <c r="AR254" s="76">
        <f t="shared" si="245"/>
        <v>784.50937499999418</v>
      </c>
      <c r="AS254" s="230">
        <f t="shared" si="246"/>
        <v>32.68789062499976</v>
      </c>
      <c r="AT254" s="72">
        <f t="shared" si="251"/>
        <v>450.19409008939573</v>
      </c>
      <c r="AU254" s="66"/>
      <c r="AV254" s="143">
        <f t="shared" si="252"/>
        <v>356.09477331999562</v>
      </c>
      <c r="AW254" s="433">
        <f t="shared" si="221"/>
        <v>0.5552083333333292</v>
      </c>
      <c r="AX254" s="66">
        <v>68.099999999999994</v>
      </c>
      <c r="AY254" s="66">
        <v>29.6</v>
      </c>
      <c r="AZ254" s="66">
        <v>0</v>
      </c>
      <c r="BA254" s="66">
        <v>82</v>
      </c>
      <c r="BB254" s="66">
        <v>160</v>
      </c>
      <c r="BC254" s="63"/>
      <c r="BD254" s="64"/>
      <c r="BE254" s="147"/>
      <c r="BF254" s="232"/>
      <c r="BG254" s="65"/>
      <c r="BH254" s="66"/>
      <c r="BI254" s="66"/>
      <c r="BJ254" s="66"/>
      <c r="BK254" s="66"/>
      <c r="BL254" s="86"/>
      <c r="BM254" s="86"/>
      <c r="BN254" s="63"/>
      <c r="BO254" s="87"/>
      <c r="BP254" s="87"/>
      <c r="BQ254" s="87"/>
      <c r="BR254" s="66"/>
      <c r="BS254" s="64"/>
      <c r="BT254" s="66"/>
      <c r="BU254" s="67"/>
      <c r="BV254" s="65">
        <v>7.3</v>
      </c>
      <c r="BW254" s="66">
        <v>48.8</v>
      </c>
      <c r="BX254" s="66">
        <v>2841</v>
      </c>
      <c r="BY254" s="159">
        <f t="shared" si="247"/>
        <v>32</v>
      </c>
      <c r="BZ254" s="159">
        <f t="shared" si="248"/>
        <v>23.3125</v>
      </c>
      <c r="CA254" s="72">
        <v>1566</v>
      </c>
      <c r="CB254" s="76">
        <f t="shared" si="249"/>
        <v>115374.39375</v>
      </c>
      <c r="CC254" s="208">
        <f t="shared" si="250"/>
        <v>429.296875</v>
      </c>
      <c r="CD254" s="208">
        <f t="shared" si="229"/>
        <v>17.887369791666668</v>
      </c>
      <c r="CE254" s="761">
        <f t="shared" si="253"/>
        <v>451.49944562948434</v>
      </c>
      <c r="CF254" s="66"/>
      <c r="CG254" s="72">
        <f>CC254/(AVERAGE(BY254)*AVERAGE((D$232,D$227,D$246,D$225,D$248,D$213,D$219,D$234,D$238))*0.01)</f>
        <v>368.28751180609578</v>
      </c>
      <c r="CH254" s="433">
        <f t="shared" si="201"/>
        <v>0.57546497989276135</v>
      </c>
      <c r="CI254" s="66">
        <v>68.400000000000006</v>
      </c>
      <c r="CJ254" s="66">
        <v>30.6</v>
      </c>
      <c r="CK254" s="66">
        <v>0</v>
      </c>
      <c r="CL254" s="66">
        <v>65</v>
      </c>
      <c r="CM254" s="66">
        <v>250</v>
      </c>
      <c r="CN254" s="116"/>
    </row>
    <row r="255" spans="1:110" s="337" customFormat="1" ht="15">
      <c r="A255" s="309">
        <f t="shared" si="194"/>
        <v>41410</v>
      </c>
      <c r="B255" s="310">
        <v>0.39583333333333331</v>
      </c>
      <c r="C255" s="311">
        <f t="shared" si="244"/>
        <v>25.5</v>
      </c>
      <c r="D255" s="318">
        <v>3.2</v>
      </c>
      <c r="E255" s="319">
        <v>74.400000000000006</v>
      </c>
      <c r="F255" s="319">
        <v>37800</v>
      </c>
      <c r="G255" s="319"/>
      <c r="H255" s="319">
        <v>42.9</v>
      </c>
      <c r="I255" s="319">
        <v>6429</v>
      </c>
      <c r="J255" s="317">
        <v>3202</v>
      </c>
      <c r="K255" s="317">
        <v>50.3</v>
      </c>
      <c r="L255" s="320">
        <v>211</v>
      </c>
      <c r="M255" s="317">
        <v>60</v>
      </c>
      <c r="N255" s="319">
        <v>80</v>
      </c>
      <c r="O255" s="316"/>
      <c r="P255" s="318">
        <v>280</v>
      </c>
      <c r="Q255" s="764">
        <f>P255/((N255-M255)*N$4)</f>
        <v>2.7866242038216558</v>
      </c>
      <c r="R255" s="765">
        <f>10*Q255/(AVERAGE(D$248,D$254))</f>
        <v>8.7082006369426743</v>
      </c>
      <c r="S255" s="317"/>
      <c r="T255" s="317"/>
      <c r="U255" s="317"/>
      <c r="V255" s="318">
        <v>2.2999999999999998</v>
      </c>
      <c r="W255" s="319">
        <v>66.8</v>
      </c>
      <c r="X255" s="319">
        <v>26900</v>
      </c>
      <c r="Y255" s="319">
        <v>32.4</v>
      </c>
      <c r="Z255" s="319">
        <v>2147</v>
      </c>
      <c r="AA255" s="317">
        <v>669</v>
      </c>
      <c r="AB255" s="317">
        <v>69.5</v>
      </c>
      <c r="AC255" s="320">
        <v>136</v>
      </c>
      <c r="AD255" s="752">
        <f>D246*(100-E246)/(100-W255)</f>
        <v>1.5781591194714015</v>
      </c>
      <c r="AE255" s="753">
        <f>D246-V255</f>
        <v>0.9790464131336587</v>
      </c>
      <c r="AF255" s="754">
        <f>100*(AVERAGE(D$234,D$246,D$212,D$238,D$234,D$232,D$219,D$213,D$225,D$227)-V255)/AVERAGE(D$234,D$246,D$212,D$238,D$234,D$232,D$219,D$213,D$225,D$227)</f>
        <v>37.523937809417845</v>
      </c>
      <c r="AG255" s="754">
        <f>100*(1-((100-AVERAGE(E$234,E$246,E$212,E$238,E$199,E$227,E$232,E$213,E$219,E$225))/(100-W255)))</f>
        <v>38.374248091847704</v>
      </c>
      <c r="AH255" s="746">
        <f>E246-W255</f>
        <v>17.221304926764134</v>
      </c>
      <c r="AI255" s="754">
        <f>100*(1-((V255*W255)/(AVERAGE(D$234,D$246,D$212,D$238,D$232,D$225,D$213,D$219,D$227)*AVERAGE(E$234,E$246,E$212,E$238,E$227,E$232,E$213,E$219,E$225))))</f>
        <v>47.382190990715976</v>
      </c>
      <c r="AJ255" s="751">
        <f>100*100*((AVERAGE(E$234,E$246,E$212,E$238,E$227,E$232,E$213,E$219,E$225)-W255)/((100-W255)*AVERAGE(E$234,E$246,E$212,E$238,E$227,E$232,E$213,E$219,E$225)))</f>
        <v>48.435829187018292</v>
      </c>
      <c r="AK255" s="318"/>
      <c r="AL255" s="319">
        <v>35.4</v>
      </c>
      <c r="AM255" s="313">
        <v>5005</v>
      </c>
      <c r="AN255" s="327">
        <f t="shared" si="224"/>
        <v>69.12</v>
      </c>
      <c r="AO255" s="489">
        <f t="shared" si="225"/>
        <v>20.442708333333332</v>
      </c>
      <c r="AP255" s="313">
        <v>2851</v>
      </c>
      <c r="AQ255" s="348">
        <f t="shared" si="181"/>
        <v>209690.67187500003</v>
      </c>
      <c r="AR255" s="348">
        <f t="shared" si="245"/>
        <v>908.75294117648707</v>
      </c>
      <c r="AS255" s="512">
        <f t="shared" si="246"/>
        <v>37.864705882353626</v>
      </c>
      <c r="AT255" s="313">
        <f>AR255/(AVERAGE(AN255)*(AVERAGE(D$232,D$227,D$246,D$225,D$248,D$213,D$219,D$234,D$238))*AVERAGE(E$232,E$227,E$246,E$225,E$248,E$213,E$219,E$234,E$238)*0.0001)</f>
        <v>456.30532208157115</v>
      </c>
      <c r="AU255" s="348">
        <f>(AQ255-AQ226)/(AVERAGE(AN226:AN255)*((AVERAGE(D$246,D$232,D$227,D$225,D$234,D$238)*AVERAGE(E$246,E$232,E$227,E$225,E$234,E$238))-(V255*W255))*0.0001*(SUM(C226:C255)/24))</f>
        <v>1313.2800145416843</v>
      </c>
      <c r="AV255" s="328">
        <f>AR255/(AVERAGE(AN255)*AVERAGE(D$232,D$227,D$246,D$225,D$248,D$213,D$219,D$234,D$238)*0.01)</f>
        <v>360.92863902118125</v>
      </c>
      <c r="AW255" s="477">
        <f t="shared" si="221"/>
        <v>0.64313725490197249</v>
      </c>
      <c r="AX255" s="319"/>
      <c r="AY255" s="319"/>
      <c r="AZ255" s="319"/>
      <c r="BA255" s="319"/>
      <c r="BB255" s="319"/>
      <c r="BC255" s="320"/>
      <c r="BD255" s="368"/>
      <c r="BE255" s="330"/>
      <c r="BF255" s="317"/>
      <c r="BG255" s="318">
        <v>2.4</v>
      </c>
      <c r="BH255" s="319">
        <v>65.2</v>
      </c>
      <c r="BI255" s="319">
        <v>22800</v>
      </c>
      <c r="BJ255" s="319">
        <v>36.299999999999997</v>
      </c>
      <c r="BK255" s="319">
        <v>3142</v>
      </c>
      <c r="BL255" s="317">
        <v>673</v>
      </c>
      <c r="BM255" s="317">
        <v>80.8</v>
      </c>
      <c r="BN255" s="320">
        <v>118</v>
      </c>
      <c r="BO255" s="745">
        <f>D246*(100-E246)/(100-BH255)</f>
        <v>1.5056000794957052</v>
      </c>
      <c r="BP255" s="746">
        <f>D246-BG255</f>
        <v>0.87904641313365861</v>
      </c>
      <c r="BQ255" s="747">
        <f>100*(AVERAGE(D$234,(0.95*D$206),D$212,D$246,D$238,D$232,D$227,D$213,D$219,D$225)-BG255)/AVERAGE(D$234,(0.95*D$206),D$212,D$246,D$238,D$232,D$227,D$213,D$219,D$225)</f>
        <v>34.298956143277778</v>
      </c>
      <c r="BR255" s="748">
        <f>100*(1-((100-AVERAGE(E$234,E$206,E$212,E$246,E$238,E$232,E$227,E$213,E$219,E$225))/(100-BH255)))</f>
        <v>40.489225191073096</v>
      </c>
      <c r="BS255" s="749">
        <f>E246-BH255</f>
        <v>18.821304926764128</v>
      </c>
      <c r="BT255" s="750">
        <f>100*(1-((BG255*BH255)/(AVERAGE(D$234,(0.95*D$206),D$212,D$246,D$238,D$232,D$227,D$213,D$219,D$225)*AVERAGE(E$234,E$206,E$212,E$246,E$238,E$232,E$227,E$213,E$219,E$225))))</f>
        <v>45.97434060734782</v>
      </c>
      <c r="BU255" s="751">
        <f>100*100*((AVERAGE(E$234,E$206,E$212,E$246,E$238,E$232,E$227,E$213,E$219,E$225)-BH255)/((100-BH255)*AVERAGE(E$234,E$206,E$212,E$246,E$238,E$232,E$227,E$213,E$219,E$225)))</f>
        <v>51.064569734519438</v>
      </c>
      <c r="BV255" s="318"/>
      <c r="BW255" s="319">
        <v>51</v>
      </c>
      <c r="BX255" s="319">
        <v>2859</v>
      </c>
      <c r="BY255" s="462">
        <f t="shared" si="247"/>
        <v>33.882352941176471</v>
      </c>
      <c r="BZ255" s="462">
        <f t="shared" si="248"/>
        <v>22.017361111111111</v>
      </c>
      <c r="CA255" s="313">
        <v>1575</v>
      </c>
      <c r="CB255" s="348">
        <f t="shared" si="249"/>
        <v>115926.346875</v>
      </c>
      <c r="CC255" s="334">
        <f t="shared" si="250"/>
        <v>519.48529411764707</v>
      </c>
      <c r="CD255" s="334">
        <f t="shared" si="229"/>
        <v>21.645220588235293</v>
      </c>
      <c r="CE255" s="756">
        <f t="shared" si="253"/>
        <v>547.32789939574229</v>
      </c>
      <c r="CF255" s="313">
        <f>(CB255-CB226)/(AVERAGE(BY226:BY255)*((AVERAGE(D$213,D$232,D$248,D$219,D$225,D$227,D$246,D$238)*AVERAGE(E$213,E$232,E$248,E$219,E$225,E$227,E$246,D$238))-(BG255*BH255))*0.0001*(SUM(C226:C255)/24))</f>
        <v>1852.632218508299</v>
      </c>
      <c r="CG255" s="313">
        <f>CC255/(AVERAGE(BY255)*AVERAGE((D$232,D$227,D$246,D$225,D$248,D$213,D$219,D$234,D$238))*0.01)</f>
        <v>420.90001349268096</v>
      </c>
      <c r="CH255" s="477">
        <f t="shared" si="201"/>
        <v>0.69636098407191294</v>
      </c>
      <c r="CI255" s="319"/>
      <c r="CJ255" s="319"/>
      <c r="CK255" s="319"/>
      <c r="CL255" s="319"/>
      <c r="CM255" s="319"/>
      <c r="CN255" s="442"/>
    </row>
    <row r="256" spans="1:110" s="677" customFormat="1" ht="15">
      <c r="A256" s="141">
        <f t="shared" si="194"/>
        <v>41411</v>
      </c>
      <c r="B256" s="663">
        <v>0.33333333333333331</v>
      </c>
      <c r="C256" s="304">
        <f t="shared" si="244"/>
        <v>22.5</v>
      </c>
      <c r="D256" s="665"/>
      <c r="E256" s="293"/>
      <c r="F256" s="301"/>
      <c r="G256" s="293"/>
      <c r="H256" s="293"/>
      <c r="I256" s="301"/>
      <c r="J256" s="772"/>
      <c r="K256" s="772"/>
      <c r="L256" s="299"/>
      <c r="M256" s="666"/>
      <c r="N256" s="293"/>
      <c r="O256" s="667"/>
      <c r="P256" s="773"/>
      <c r="Q256" s="774"/>
      <c r="R256" s="225"/>
      <c r="S256" s="666"/>
      <c r="T256" s="666"/>
      <c r="U256" s="777"/>
      <c r="V256" s="665"/>
      <c r="W256" s="293"/>
      <c r="X256" s="293"/>
      <c r="Y256" s="293"/>
      <c r="Z256" s="293"/>
      <c r="AA256" s="666"/>
      <c r="AB256" s="666"/>
      <c r="AC256" s="299"/>
      <c r="AD256" s="298"/>
      <c r="AE256" s="298"/>
      <c r="AF256" s="298"/>
      <c r="AG256" s="293"/>
      <c r="AH256" s="293"/>
      <c r="AI256" s="671"/>
      <c r="AJ256" s="299"/>
      <c r="AK256" s="665"/>
      <c r="AL256" s="293">
        <v>35.799999999999997</v>
      </c>
      <c r="AM256" s="301">
        <v>5029</v>
      </c>
      <c r="AN256" s="672">
        <f t="shared" si="224"/>
        <v>48.790588235294123</v>
      </c>
      <c r="AO256" s="673">
        <f t="shared" si="225"/>
        <v>28.960503472222218</v>
      </c>
      <c r="AP256" s="301">
        <v>2866</v>
      </c>
      <c r="AQ256" s="490">
        <f t="shared" si="181"/>
        <v>210595.87500000003</v>
      </c>
      <c r="AR256" s="76">
        <f t="shared" si="245"/>
        <v>965.55</v>
      </c>
      <c r="AS256" s="230">
        <f t="shared" si="246"/>
        <v>40.231250000000003</v>
      </c>
      <c r="AT256" s="72">
        <f>AR256/(AVERAGE(AN256)*(AVERAGE(D$232,D$227,D$246,D$225,D$248,D$255,D$219,D$234,D$238))*AVERAGE(E$232,E$227,E$246,E$225,E$248,E$255,E$219,E$234,E$238)*0.0001)</f>
        <v>728.07969920501841</v>
      </c>
      <c r="AU256" s="293"/>
      <c r="AV256" s="143">
        <f>AR256/(AVERAGE(AN256)*AVERAGE(D$232,D$227,D$246,D$225,D$248,D$255,D$219,D$234,D$238)*0.01)</f>
        <v>572.98456913393647</v>
      </c>
      <c r="AW256" s="511">
        <f t="shared" si="221"/>
        <v>0.68333333333333335</v>
      </c>
      <c r="AX256" s="293"/>
      <c r="AY256" s="293"/>
      <c r="AZ256" s="293"/>
      <c r="BA256" s="293"/>
      <c r="BB256" s="293"/>
      <c r="BC256" s="299"/>
      <c r="BD256" s="671"/>
      <c r="BE256" s="296"/>
      <c r="BF256" s="777"/>
      <c r="BG256" s="665"/>
      <c r="BH256" s="293"/>
      <c r="BI256" s="293"/>
      <c r="BJ256" s="293"/>
      <c r="BK256" s="293"/>
      <c r="BL256" s="772"/>
      <c r="BM256" s="772"/>
      <c r="BN256" s="299"/>
      <c r="BO256" s="298"/>
      <c r="BP256" s="298"/>
      <c r="BQ256" s="298"/>
      <c r="BR256" s="293"/>
      <c r="BS256" s="671"/>
      <c r="BT256" s="293"/>
      <c r="BU256" s="675"/>
      <c r="BV256" s="665"/>
      <c r="BW256" s="293">
        <v>51.3</v>
      </c>
      <c r="BX256" s="293">
        <v>2873</v>
      </c>
      <c r="BY256" s="443">
        <f t="shared" si="247"/>
        <v>29.866666666666667</v>
      </c>
      <c r="BZ256" s="443">
        <f t="shared" si="248"/>
        <v>24.977678571428569</v>
      </c>
      <c r="CA256" s="301">
        <v>1583</v>
      </c>
      <c r="CB256" s="490">
        <f t="shared" si="249"/>
        <v>116416.971875</v>
      </c>
      <c r="CC256" s="289">
        <f t="shared" si="250"/>
        <v>523.33333333333337</v>
      </c>
      <c r="CD256" s="289">
        <f t="shared" si="229"/>
        <v>21.805555555555557</v>
      </c>
      <c r="CE256" s="761">
        <f>CC256/(AVERAGE(BY255,BY256)*(AVERAGE(D$232,D$227,D$246,D$225,D$248,D$255,D$219,D$234,D$238))*AVERAGE(E$232,E$227,E$246,E$225,E$248,E$255,E$219,E$234,E$238)*0.0001)</f>
        <v>604.05306329281359</v>
      </c>
      <c r="CF256" s="293"/>
      <c r="CG256" s="72">
        <f>CC256/(AVERAGE(BY256)*AVERAGE((D$232,D$227,D$246,D$225,D$248,D$255,D$219,D$234,D$238))*0.01)</f>
        <v>507.33620386526053</v>
      </c>
      <c r="CH256" s="433">
        <f t="shared" si="201"/>
        <v>0.70151921358355684</v>
      </c>
      <c r="CI256" s="293"/>
      <c r="CJ256" s="293"/>
      <c r="CK256" s="293"/>
      <c r="CL256" s="293"/>
      <c r="CM256" s="293"/>
      <c r="CN256" s="676"/>
    </row>
    <row r="257" spans="1:112" s="677" customFormat="1" ht="15">
      <c r="A257" s="141">
        <f t="shared" si="194"/>
        <v>41412</v>
      </c>
      <c r="B257" s="663">
        <v>0.33333333333333331</v>
      </c>
      <c r="C257" s="304">
        <f t="shared" si="244"/>
        <v>24</v>
      </c>
      <c r="D257" s="665"/>
      <c r="E257" s="293"/>
      <c r="F257" s="293"/>
      <c r="G257" s="293"/>
      <c r="H257" s="293"/>
      <c r="I257" s="293"/>
      <c r="J257" s="666"/>
      <c r="K257" s="666"/>
      <c r="L257" s="299"/>
      <c r="M257" s="666">
        <v>50</v>
      </c>
      <c r="N257" s="293">
        <v>90</v>
      </c>
      <c r="O257" s="667"/>
      <c r="P257" s="665">
        <v>560</v>
      </c>
      <c r="Q257" s="210">
        <f>P257/((N257-M257)*N$4)</f>
        <v>2.7866242038216558</v>
      </c>
      <c r="R257" s="225">
        <f>10*Q257/(AVERAGE(D$248,D$254))</f>
        <v>8.7082006369426743</v>
      </c>
      <c r="S257" s="666"/>
      <c r="T257" s="666"/>
      <c r="U257" s="777"/>
      <c r="V257" s="665"/>
      <c r="W257" s="293"/>
      <c r="X257" s="293"/>
      <c r="Y257" s="293"/>
      <c r="Z257" s="293"/>
      <c r="AA257" s="666"/>
      <c r="AB257" s="666"/>
      <c r="AC257" s="299"/>
      <c r="AD257" s="298"/>
      <c r="AE257" s="298"/>
      <c r="AF257" s="298"/>
      <c r="AG257" s="293"/>
      <c r="AH257" s="293"/>
      <c r="AI257" s="671"/>
      <c r="AJ257" s="299"/>
      <c r="AK257" s="665"/>
      <c r="AL257" s="293">
        <v>35.6</v>
      </c>
      <c r="AM257" s="301">
        <v>5057</v>
      </c>
      <c r="AN257" s="672">
        <f t="shared" si="224"/>
        <v>64.512</v>
      </c>
      <c r="AO257" s="673">
        <f t="shared" si="225"/>
        <v>21.902901785714285</v>
      </c>
      <c r="AP257" s="301">
        <v>2883</v>
      </c>
      <c r="AQ257" s="490">
        <f t="shared" si="181"/>
        <v>211621.77187500001</v>
      </c>
      <c r="AR257" s="76">
        <f t="shared" si="245"/>
        <v>1025.8968749999767</v>
      </c>
      <c r="AS257" s="230">
        <f t="shared" si="246"/>
        <v>42.745703124999032</v>
      </c>
      <c r="AT257" s="72">
        <f t="shared" ref="AT257:AT261" si="254">AR257/(AVERAGE(AN257)*(AVERAGE(D$232,D$227,D$246,D$225,D$248,D$255,D$219,D$234,D$238))*AVERAGE(E$232,E$227,E$246,E$225,E$248,E$255,E$219,E$234,E$238)*0.0001)</f>
        <v>585.06404400401959</v>
      </c>
      <c r="AU257" s="293"/>
      <c r="AV257" s="143">
        <f t="shared" ref="AV257:AV261" si="255">AR257/(AVERAGE(AN257)*AVERAGE(D$232,D$227,D$246,D$225,D$248,D$255,D$219,D$234,D$238)*0.01)</f>
        <v>460.43402876833136</v>
      </c>
      <c r="AW257" s="511">
        <f t="shared" si="221"/>
        <v>0.72604166666665015</v>
      </c>
      <c r="AX257" s="293"/>
      <c r="AY257" s="293"/>
      <c r="AZ257" s="293"/>
      <c r="BA257" s="293"/>
      <c r="BB257" s="293"/>
      <c r="BC257" s="299"/>
      <c r="BD257" s="671"/>
      <c r="BE257" s="296"/>
      <c r="BF257" s="777"/>
      <c r="BG257" s="665"/>
      <c r="BH257" s="293"/>
      <c r="BI257" s="293"/>
      <c r="BJ257" s="293"/>
      <c r="BK257" s="293"/>
      <c r="BL257" s="666"/>
      <c r="BM257" s="666"/>
      <c r="BN257" s="299"/>
      <c r="BO257" s="298"/>
      <c r="BP257" s="298"/>
      <c r="BQ257" s="298"/>
      <c r="BR257" s="293"/>
      <c r="BS257" s="671"/>
      <c r="BT257" s="293"/>
      <c r="BU257" s="675"/>
      <c r="BV257" s="665"/>
      <c r="BW257" s="293">
        <v>51</v>
      </c>
      <c r="BX257" s="293">
        <v>2889</v>
      </c>
      <c r="BY257" s="443">
        <f t="shared" si="247"/>
        <v>32</v>
      </c>
      <c r="BZ257" s="443">
        <f t="shared" si="248"/>
        <v>23.3125</v>
      </c>
      <c r="CA257" s="301">
        <v>1592</v>
      </c>
      <c r="CB257" s="490">
        <f t="shared" si="249"/>
        <v>116968.925</v>
      </c>
      <c r="CC257" s="289">
        <f t="shared" si="250"/>
        <v>551.953125</v>
      </c>
      <c r="CD257" s="289">
        <f t="shared" si="229"/>
        <v>22.998046875</v>
      </c>
      <c r="CE257" s="761">
        <f t="shared" ref="CE257:CE261" si="256">CC257/(AVERAGE(BY256,BY257)*(AVERAGE(D$232,D$227,D$246,D$225,D$248,D$255,D$219,D$234,D$238))*AVERAGE(E$232,E$227,E$246,E$225,E$248,E$255,E$219,E$234,E$238)*0.0001)</f>
        <v>656.47120754026923</v>
      </c>
      <c r="CF257" s="293"/>
      <c r="CG257" s="72">
        <f>CC257/(AVERAGE(BY257)*AVERAGE((D$232,D$227,D$246,D$225,D$248,D$255,D$219,D$234,D$238))*0.01)</f>
        <v>499.40907567986574</v>
      </c>
      <c r="CH257" s="433">
        <f t="shared" si="201"/>
        <v>0.73988354557640745</v>
      </c>
      <c r="CI257" s="293"/>
      <c r="CJ257" s="293"/>
      <c r="CK257" s="293"/>
      <c r="CL257" s="293"/>
      <c r="CM257" s="293"/>
      <c r="CN257" s="676"/>
    </row>
    <row r="258" spans="1:112" s="677" customFormat="1" ht="15">
      <c r="A258" s="141">
        <f t="shared" si="194"/>
        <v>41413</v>
      </c>
      <c r="B258" s="663">
        <v>0.33333333333333331</v>
      </c>
      <c r="C258" s="304">
        <f t="shared" si="244"/>
        <v>24</v>
      </c>
      <c r="D258" s="665"/>
      <c r="E258" s="293"/>
      <c r="F258" s="293"/>
      <c r="G258" s="293"/>
      <c r="H258" s="293"/>
      <c r="I258" s="293"/>
      <c r="J258" s="666"/>
      <c r="K258" s="666"/>
      <c r="L258" s="299"/>
      <c r="M258" s="666"/>
      <c r="N258" s="293"/>
      <c r="O258" s="667"/>
      <c r="P258" s="773"/>
      <c r="Q258" s="774"/>
      <c r="R258" s="225"/>
      <c r="S258" s="786"/>
      <c r="T258" s="786"/>
      <c r="U258" s="777"/>
      <c r="V258" s="665"/>
      <c r="W258" s="293"/>
      <c r="X258" s="293"/>
      <c r="Y258" s="293"/>
      <c r="Z258" s="293"/>
      <c r="AA258" s="666"/>
      <c r="AB258" s="666"/>
      <c r="AC258" s="299"/>
      <c r="AD258" s="298"/>
      <c r="AE258" s="298"/>
      <c r="AF258" s="298"/>
      <c r="AG258" s="293"/>
      <c r="AH258" s="293"/>
      <c r="AI258" s="671"/>
      <c r="AJ258" s="299"/>
      <c r="AK258" s="665"/>
      <c r="AL258" s="293">
        <v>35.6</v>
      </c>
      <c r="AM258" s="301">
        <v>5092</v>
      </c>
      <c r="AN258" s="672">
        <f t="shared" si="224"/>
        <v>75.600000000000009</v>
      </c>
      <c r="AO258" s="673">
        <f t="shared" si="225"/>
        <v>18.69047619047619</v>
      </c>
      <c r="AP258" s="301">
        <v>2904</v>
      </c>
      <c r="AQ258" s="490">
        <f t="shared" si="181"/>
        <v>212889.05625000002</v>
      </c>
      <c r="AR258" s="76">
        <f t="shared" si="245"/>
        <v>1267.2843750000175</v>
      </c>
      <c r="AS258" s="230">
        <f t="shared" si="246"/>
        <v>52.803515625000728</v>
      </c>
      <c r="AT258" s="72">
        <f t="shared" si="254"/>
        <v>616.72633344425935</v>
      </c>
      <c r="AU258" s="293"/>
      <c r="AV258" s="143">
        <f t="shared" si="255"/>
        <v>485.35163503110584</v>
      </c>
      <c r="AW258" s="511">
        <f t="shared" si="221"/>
        <v>0.89687500000001241</v>
      </c>
      <c r="AX258" s="293"/>
      <c r="AY258" s="293"/>
      <c r="AZ258" s="293"/>
      <c r="BA258" s="293"/>
      <c r="BB258" s="293"/>
      <c r="BC258" s="299"/>
      <c r="BD258" s="671"/>
      <c r="BE258" s="296"/>
      <c r="BF258" s="777"/>
      <c r="BG258" s="665"/>
      <c r="BH258" s="293"/>
      <c r="BI258" s="293"/>
      <c r="BJ258" s="293"/>
      <c r="BK258" s="293"/>
      <c r="BL258" s="666"/>
      <c r="BM258" s="666"/>
      <c r="BN258" s="299"/>
      <c r="BO258" s="298"/>
      <c r="BP258" s="298"/>
      <c r="BQ258" s="298"/>
      <c r="BR258" s="293"/>
      <c r="BS258" s="671"/>
      <c r="BT258" s="293"/>
      <c r="BU258" s="675"/>
      <c r="BV258" s="665"/>
      <c r="BW258" s="293">
        <v>51</v>
      </c>
      <c r="BX258" s="293">
        <v>2908</v>
      </c>
      <c r="BY258" s="443">
        <f t="shared" si="247"/>
        <v>38</v>
      </c>
      <c r="BZ258" s="443">
        <f t="shared" si="248"/>
        <v>19.631578947368421</v>
      </c>
      <c r="CA258" s="301">
        <v>1603</v>
      </c>
      <c r="CB258" s="490">
        <f t="shared" si="249"/>
        <v>117643.534375</v>
      </c>
      <c r="CC258" s="289">
        <f t="shared" si="250"/>
        <v>674.609375</v>
      </c>
      <c r="CD258" s="289">
        <f t="shared" si="229"/>
        <v>28.108723958333332</v>
      </c>
      <c r="CE258" s="761">
        <f t="shared" si="256"/>
        <v>709.12783984879025</v>
      </c>
      <c r="CF258" s="293"/>
      <c r="CG258" s="72">
        <f>CC258/(AVERAGE(BY258)*AVERAGE((D$232,D$227,D$246,D$225,D$248,D$255,D$219,D$234,D$238))*0.01)</f>
        <v>514.01168023190849</v>
      </c>
      <c r="CH258" s="433">
        <f t="shared" si="201"/>
        <v>0.90430211126005366</v>
      </c>
      <c r="CI258" s="293"/>
      <c r="CJ258" s="293"/>
      <c r="CK258" s="293"/>
      <c r="CL258" s="293"/>
      <c r="CM258" s="293"/>
      <c r="CN258" s="787"/>
    </row>
    <row r="259" spans="1:112" s="677" customFormat="1" ht="15">
      <c r="A259" s="141">
        <f t="shared" si="194"/>
        <v>41414</v>
      </c>
      <c r="B259" s="663">
        <v>0.33333333333333331</v>
      </c>
      <c r="C259" s="304">
        <f t="shared" si="244"/>
        <v>24</v>
      </c>
      <c r="D259" s="665"/>
      <c r="E259" s="293"/>
      <c r="F259" s="293"/>
      <c r="G259" s="293"/>
      <c r="H259" s="293"/>
      <c r="I259" s="293"/>
      <c r="J259" s="666"/>
      <c r="K259" s="666"/>
      <c r="L259" s="299"/>
      <c r="M259" s="666">
        <v>55</v>
      </c>
      <c r="N259" s="293">
        <v>85</v>
      </c>
      <c r="O259" s="667"/>
      <c r="P259" s="668">
        <v>420</v>
      </c>
      <c r="Q259" s="210">
        <f>P259/((N259-M259)*N$4)</f>
        <v>2.7866242038216562</v>
      </c>
      <c r="R259" s="225">
        <f>10*Q259/(AVERAGE(D$248,D$254))</f>
        <v>8.7082006369426743</v>
      </c>
      <c r="S259" s="666"/>
      <c r="T259" s="666"/>
      <c r="U259" s="777"/>
      <c r="V259" s="665"/>
      <c r="W259" s="293"/>
      <c r="X259" s="293"/>
      <c r="Y259" s="293"/>
      <c r="Z259" s="293"/>
      <c r="AA259" s="666"/>
      <c r="AB259" s="666"/>
      <c r="AC259" s="299"/>
      <c r="AD259" s="298"/>
      <c r="AE259" s="298"/>
      <c r="AF259" s="298"/>
      <c r="AG259" s="293"/>
      <c r="AH259" s="293"/>
      <c r="AI259" s="671"/>
      <c r="AJ259" s="299"/>
      <c r="AK259" s="665"/>
      <c r="AL259" s="293">
        <v>35.700000000000003</v>
      </c>
      <c r="AM259" s="301">
        <v>5113</v>
      </c>
      <c r="AN259" s="672">
        <f t="shared" si="224"/>
        <v>45.36</v>
      </c>
      <c r="AO259" s="673">
        <f t="shared" si="225"/>
        <v>31.150793650793652</v>
      </c>
      <c r="AP259" s="301">
        <v>2916</v>
      </c>
      <c r="AQ259" s="490">
        <f t="shared" si="181"/>
        <v>213613.21875000003</v>
      </c>
      <c r="AR259" s="76">
        <f t="shared" si="245"/>
        <v>724.16250000000582</v>
      </c>
      <c r="AS259" s="230">
        <f t="shared" si="246"/>
        <v>30.173437500000244</v>
      </c>
      <c r="AT259" s="72">
        <f t="shared" si="254"/>
        <v>587.35841280405327</v>
      </c>
      <c r="AU259" s="293"/>
      <c r="AV259" s="143">
        <f t="shared" si="255"/>
        <v>462.23965241057431</v>
      </c>
      <c r="AW259" s="511">
        <f t="shared" si="221"/>
        <v>0.51250000000000417</v>
      </c>
      <c r="AX259" s="293"/>
      <c r="AY259" s="293"/>
      <c r="AZ259" s="293"/>
      <c r="BA259" s="293"/>
      <c r="BB259" s="293"/>
      <c r="BC259" s="299"/>
      <c r="BD259" s="671"/>
      <c r="BE259" s="296"/>
      <c r="BF259" s="777"/>
      <c r="BG259" s="665"/>
      <c r="BH259" s="293"/>
      <c r="BI259" s="293"/>
      <c r="BJ259" s="293"/>
      <c r="BK259" s="293"/>
      <c r="BL259" s="666"/>
      <c r="BM259" s="666"/>
      <c r="BN259" s="299"/>
      <c r="BO259" s="298"/>
      <c r="BP259" s="298"/>
      <c r="BQ259" s="298"/>
      <c r="BR259" s="293"/>
      <c r="BS259" s="671"/>
      <c r="BT259" s="293"/>
      <c r="BU259" s="675"/>
      <c r="BV259" s="665"/>
      <c r="BW259" s="293">
        <v>51</v>
      </c>
      <c r="BX259" s="293">
        <v>2921</v>
      </c>
      <c r="BY259" s="443">
        <f t="shared" si="247"/>
        <v>26</v>
      </c>
      <c r="BZ259" s="443">
        <f t="shared" si="248"/>
        <v>28.692307692307693</v>
      </c>
      <c r="CA259" s="301">
        <v>1610</v>
      </c>
      <c r="CB259" s="490">
        <f t="shared" si="249"/>
        <v>118072.83125</v>
      </c>
      <c r="CC259" s="289">
        <f t="shared" si="250"/>
        <v>429.296875</v>
      </c>
      <c r="CD259" s="289">
        <f t="shared" si="229"/>
        <v>17.887369791666668</v>
      </c>
      <c r="CE259" s="761">
        <f t="shared" si="256"/>
        <v>493.56909307657281</v>
      </c>
      <c r="CF259" s="293"/>
      <c r="CG259" s="72">
        <f>CC259/(AVERAGE(BY259)*AVERAGE((D$232,D$227,D$246,D$225,D$248,D$255,D$219,D$234,D$238))*0.01)</f>
        <v>478.06680748841848</v>
      </c>
      <c r="CH259" s="433">
        <f t="shared" si="201"/>
        <v>0.57546497989276135</v>
      </c>
      <c r="CI259" s="293"/>
      <c r="CJ259" s="293"/>
      <c r="CK259" s="293"/>
      <c r="CL259" s="293"/>
      <c r="CM259" s="293"/>
      <c r="CN259" s="787"/>
    </row>
    <row r="260" spans="1:112" s="677" customFormat="1" ht="15">
      <c r="A260" s="141">
        <f t="shared" si="194"/>
        <v>41415</v>
      </c>
      <c r="B260" s="663">
        <v>0.33333333333333331</v>
      </c>
      <c r="C260" s="304">
        <f t="shared" si="244"/>
        <v>24</v>
      </c>
      <c r="D260" s="665"/>
      <c r="E260" s="293"/>
      <c r="F260" s="301"/>
      <c r="G260" s="293"/>
      <c r="H260" s="293"/>
      <c r="I260" s="301"/>
      <c r="J260" s="772"/>
      <c r="K260" s="772"/>
      <c r="L260" s="299"/>
      <c r="M260" s="666"/>
      <c r="N260" s="293"/>
      <c r="O260" s="667"/>
      <c r="P260" s="773"/>
      <c r="Q260" s="774"/>
      <c r="R260" s="225"/>
      <c r="S260" s="666"/>
      <c r="T260" s="666"/>
      <c r="U260" s="666"/>
      <c r="V260" s="665"/>
      <c r="W260" s="293"/>
      <c r="X260" s="490"/>
      <c r="Y260" s="293"/>
      <c r="Z260" s="293"/>
      <c r="AA260" s="666"/>
      <c r="AB260" s="666"/>
      <c r="AC260" s="299"/>
      <c r="AD260" s="778"/>
      <c r="AE260" s="779"/>
      <c r="AF260" s="780"/>
      <c r="AG260" s="776"/>
      <c r="AH260" s="781"/>
      <c r="AI260" s="779"/>
      <c r="AJ260" s="282"/>
      <c r="AK260" s="665"/>
      <c r="AL260" s="293">
        <v>35.5</v>
      </c>
      <c r="AM260" s="301">
        <v>5141</v>
      </c>
      <c r="AN260" s="672">
        <f t="shared" si="224"/>
        <v>60.480000000000004</v>
      </c>
      <c r="AO260" s="673">
        <f t="shared" si="225"/>
        <v>23.363095238095237</v>
      </c>
      <c r="AP260" s="301">
        <v>2935</v>
      </c>
      <c r="AQ260" s="490">
        <f t="shared" si="181"/>
        <v>214759.80937500001</v>
      </c>
      <c r="AR260" s="76">
        <f t="shared" si="245"/>
        <v>1146.5906249999825</v>
      </c>
      <c r="AS260" s="230">
        <f t="shared" si="246"/>
        <v>47.774609374999272</v>
      </c>
      <c r="AT260" s="72">
        <f t="shared" si="254"/>
        <v>697.48811520479705</v>
      </c>
      <c r="AU260" s="293"/>
      <c r="AV260" s="143">
        <f t="shared" si="255"/>
        <v>548.9095872375442</v>
      </c>
      <c r="AW260" s="511">
        <f t="shared" si="221"/>
        <v>0.81145833333332096</v>
      </c>
      <c r="AX260" s="293"/>
      <c r="AY260" s="293"/>
      <c r="AZ260" s="293"/>
      <c r="BA260" s="293"/>
      <c r="BB260" s="293"/>
      <c r="BC260" s="788"/>
      <c r="BD260" s="671"/>
      <c r="BE260" s="296"/>
      <c r="BF260" s="666"/>
      <c r="BG260" s="665"/>
      <c r="BH260" s="293"/>
      <c r="BI260" s="490"/>
      <c r="BJ260" s="293"/>
      <c r="BK260" s="490"/>
      <c r="BL260" s="772"/>
      <c r="BM260" s="772"/>
      <c r="BN260" s="299"/>
      <c r="BO260" s="778"/>
      <c r="BP260" s="779"/>
      <c r="BQ260" s="780"/>
      <c r="BR260" s="776"/>
      <c r="BS260" s="782"/>
      <c r="BT260" s="781"/>
      <c r="BU260" s="783"/>
      <c r="BV260" s="665"/>
      <c r="BW260" s="293">
        <v>51.1</v>
      </c>
      <c r="BX260" s="293">
        <v>2937</v>
      </c>
      <c r="BY260" s="443">
        <f t="shared" si="247"/>
        <v>32</v>
      </c>
      <c r="BZ260" s="443">
        <f t="shared" si="248"/>
        <v>23.3125</v>
      </c>
      <c r="CA260" s="301">
        <v>1620</v>
      </c>
      <c r="CB260" s="490">
        <f t="shared" si="249"/>
        <v>118686.1125</v>
      </c>
      <c r="CC260" s="289">
        <f t="shared" si="250"/>
        <v>613.28125</v>
      </c>
      <c r="CD260" s="289">
        <f t="shared" si="229"/>
        <v>25.553385416666668</v>
      </c>
      <c r="CE260" s="761">
        <f t="shared" si="256"/>
        <v>778.03994967735616</v>
      </c>
      <c r="CF260" s="293"/>
      <c r="CG260" s="72">
        <f>CC260/(AVERAGE(BY260)*AVERAGE((D$232,D$227,D$246,D$225,D$248,D$255,D$219,D$234,D$238))*0.01)</f>
        <v>554.89897297762855</v>
      </c>
      <c r="CH260" s="433">
        <f t="shared" si="201"/>
        <v>0.82209282841823061</v>
      </c>
      <c r="CI260" s="293"/>
      <c r="CJ260" s="293"/>
      <c r="CK260" s="293"/>
      <c r="CL260" s="293"/>
      <c r="CM260" s="293"/>
      <c r="CN260" s="788"/>
    </row>
    <row r="261" spans="1:112" s="337" customFormat="1" ht="15">
      <c r="A261" s="309">
        <f t="shared" si="194"/>
        <v>41416</v>
      </c>
      <c r="B261" s="310">
        <v>0.33333333333333331</v>
      </c>
      <c r="C261" s="311">
        <f t="shared" si="244"/>
        <v>24</v>
      </c>
      <c r="D261" s="339">
        <v>3.02</v>
      </c>
      <c r="E261" s="365">
        <v>79.900000000000006</v>
      </c>
      <c r="F261" s="365"/>
      <c r="G261" s="365">
        <v>5.66</v>
      </c>
      <c r="H261" s="319"/>
      <c r="I261" s="319"/>
      <c r="J261" s="317"/>
      <c r="K261" s="317"/>
      <c r="L261" s="320"/>
      <c r="M261" s="829">
        <v>49</v>
      </c>
      <c r="N261" s="365">
        <v>85</v>
      </c>
      <c r="O261" s="472"/>
      <c r="P261" s="763">
        <v>420</v>
      </c>
      <c r="Q261" s="764">
        <f>P261/((N261-M261)*N$4)</f>
        <v>2.3221868365180467</v>
      </c>
      <c r="R261" s="765">
        <f>10*Q261/(AVERAGE(D$255,D$261))</f>
        <v>7.4668387026303744</v>
      </c>
      <c r="S261" s="317"/>
      <c r="T261" s="317"/>
      <c r="U261" s="317"/>
      <c r="V261" s="339">
        <v>2.21</v>
      </c>
      <c r="W261" s="365">
        <v>66.459999999999994</v>
      </c>
      <c r="X261" s="319"/>
      <c r="Y261" s="319"/>
      <c r="Z261" s="319"/>
      <c r="AA261" s="317"/>
      <c r="AB261" s="317"/>
      <c r="AC261" s="320"/>
      <c r="AD261" s="752">
        <f>D255*(100-E255)/(100-W261)</f>
        <v>2.4424567680381624</v>
      </c>
      <c r="AE261" s="753">
        <f>D255-V261</f>
        <v>0.99000000000000021</v>
      </c>
      <c r="AF261" s="754">
        <f>100*(AVERAGE(D$232,D$227,D$246,D$225,D$254,D$255,D$219,D$234,D$238)-V261)/AVERAGE(D$232,D$227,D$246,D$225,D$254,D$255,D$219,D$234,D$238)</f>
        <v>36.594690124245453</v>
      </c>
      <c r="AG261" s="754">
        <f>100*(1-((100-AVERAGE(E$234,E$246,E$255,E$238,E$199,E$227,E$232,E$213,E$219,E$225))/(100-W261)))</f>
        <v>37.144455475532034</v>
      </c>
      <c r="AH261" s="746">
        <f>E255-W261</f>
        <v>7.9400000000000119</v>
      </c>
      <c r="AI261" s="846">
        <f>100*(1-((V261*W261)/(AVERAGE(D$234,D$246,D$255,D$238,D$232,D$225,D$213,D$219,D$227)*AVERAGE(E$234,E$246,E$255,E$238,E$227,E$232,E$213,E$219,E$225))))</f>
        <v>48.901941954251271</v>
      </c>
      <c r="AJ261" s="846">
        <f>100*100*((AVERAGE(E$234,E$246,E$255,E$238,E$227,E$232,E$213,E$219,E$225)-W261)/((100-W261)*AVERAGE(E$234,E$246,E$255,E$238,E$227,E$232,E$213,E$219,E$225)))</f>
        <v>47.038100745830569</v>
      </c>
      <c r="AK261" s="369">
        <v>7.15</v>
      </c>
      <c r="AL261" s="369">
        <v>34.700000000000003</v>
      </c>
      <c r="AM261" s="348">
        <v>5169</v>
      </c>
      <c r="AN261" s="846">
        <f t="shared" si="224"/>
        <v>60.480000000000004</v>
      </c>
      <c r="AO261" s="847">
        <f t="shared" si="225"/>
        <v>23.363095238095237</v>
      </c>
      <c r="AP261" s="348">
        <v>2953</v>
      </c>
      <c r="AQ261" s="348">
        <f t="shared" si="181"/>
        <v>215846.05312500001</v>
      </c>
      <c r="AR261" s="348">
        <f t="shared" si="245"/>
        <v>1086.2437499999942</v>
      </c>
      <c r="AS261" s="512">
        <f t="shared" si="246"/>
        <v>45.26015624999976</v>
      </c>
      <c r="AT261" s="313">
        <f t="shared" si="254"/>
        <v>660.77821440455114</v>
      </c>
      <c r="AU261" s="348">
        <f>(AQ261-AQ232)/(AVERAGE(AN232:AN261)*((AVERAGE(D$246,D$232,D$227,D$255,D$234,D$238)*AVERAGE(E$246,E$232,E$227,E$255,E$234,E$238))-(V261*W261))*0.0001*(SUM(C232:C261)/24))</f>
        <v>1288.59916500031</v>
      </c>
      <c r="AV261" s="328">
        <f t="shared" si="255"/>
        <v>520.01960896188905</v>
      </c>
      <c r="AW261" s="848">
        <f t="shared" si="221"/>
        <v>0.76874999999999583</v>
      </c>
      <c r="AX261" s="330">
        <v>67.7</v>
      </c>
      <c r="AY261" s="330">
        <v>29.8</v>
      </c>
      <c r="AZ261" s="319">
        <v>0</v>
      </c>
      <c r="BA261" s="319">
        <v>88</v>
      </c>
      <c r="BB261" s="319">
        <v>155</v>
      </c>
      <c r="BC261" s="320"/>
      <c r="BD261" s="368"/>
      <c r="BE261" s="330"/>
      <c r="BF261" s="317"/>
      <c r="BG261" s="339">
        <v>2.36</v>
      </c>
      <c r="BH261" s="365">
        <v>64.87</v>
      </c>
      <c r="BI261" s="319"/>
      <c r="BJ261" s="319"/>
      <c r="BK261" s="319"/>
      <c r="BL261" s="317"/>
      <c r="BM261" s="317"/>
      <c r="BN261" s="320"/>
      <c r="BO261" s="745">
        <f>D255*(100-E255)/(100-BH261)</f>
        <v>2.3319100483916881</v>
      </c>
      <c r="BP261" s="746">
        <f>D255-BG261</f>
        <v>0.8400000000000003</v>
      </c>
      <c r="BQ261" s="747">
        <f>100*(AVERAGE(D$234,(0.95*D$255),D$212,D$246,D$238,D$232,D$227,D$213,D$219,D$225)-BG261)/AVERAGE(D$234,(0.95*D$255),D$212,D$246,D$238,D$232,D$227,D$213,D$219,D$225)</f>
        <v>34.542812020204742</v>
      </c>
      <c r="BR261" s="748">
        <f>100*(1-((100-AVERAGE(E$234,E$255,E$212,E$246,E$238,E$232,E$227,E$213,E$219,E$225))/(100-BH261)))</f>
        <v>40.450470727279942</v>
      </c>
      <c r="BS261" s="749">
        <f>E255-BH261</f>
        <v>9.5300000000000011</v>
      </c>
      <c r="BT261" s="750">
        <f>100*(1-((BG261*BH261)/(AVERAGE(D$234,(0.95*D$255),D$212,D$246,D$238,D$232,D$227,D$213,D$219,D$225)*AVERAGE(E$234,E$255,E$212,E$246,E$238,E$232,E$227,E$213,E$219,E$225))))</f>
        <v>46.305079149718388</v>
      </c>
      <c r="BU261" s="751">
        <f>100*100*((AVERAGE(E$234,E$255,E$212,E$246,E$238,E$232,E$227,E$213,E$219,E$225)-BH261)/((100-BH261)*AVERAGE(E$234,E$255,E$212,E$246,E$238,E$232,E$227,E$213,E$219,E$225)))</f>
        <v>51.15116674493855</v>
      </c>
      <c r="BV261" s="339">
        <v>7.25</v>
      </c>
      <c r="BW261" s="365">
        <v>48.6</v>
      </c>
      <c r="BX261" s="319">
        <v>2953</v>
      </c>
      <c r="BY261" s="462">
        <f t="shared" si="247"/>
        <v>32</v>
      </c>
      <c r="BZ261" s="462">
        <f t="shared" si="248"/>
        <v>23.3125</v>
      </c>
      <c r="CA261" s="313">
        <v>1629</v>
      </c>
      <c r="CB261" s="348">
        <f t="shared" si="249"/>
        <v>119238.065625</v>
      </c>
      <c r="CC261" s="334">
        <f t="shared" si="250"/>
        <v>551.953125</v>
      </c>
      <c r="CD261" s="334">
        <f t="shared" si="229"/>
        <v>22.998046875</v>
      </c>
      <c r="CE261" s="756">
        <f t="shared" si="256"/>
        <v>634.5888339555936</v>
      </c>
      <c r="CF261" s="313">
        <f>(CB261-CB232)/(AVERAGE(BY232:BY261)*((AVERAGE(D$255,D$232,D$248,D$219,D$225,D$227,D$246,D$238)*AVERAGE(E$255,E$232,E$248,E$219,E$225,E$227,E$246,D$238))-(BG261*BH261))*0.0001*(SUM(C232:C261)/24))</f>
        <v>2110.7734290790659</v>
      </c>
      <c r="CG261" s="313">
        <f>CC261/(AVERAGE(BY261)*AVERAGE((D$232,D$227,D$246,D$225,D$248,D$255,D$219,D$234,D$238))*0.01)</f>
        <v>499.40907567986574</v>
      </c>
      <c r="CH261" s="477">
        <f t="shared" si="201"/>
        <v>0.73988354557640745</v>
      </c>
      <c r="CI261" s="319">
        <v>68.3</v>
      </c>
      <c r="CJ261" s="319">
        <v>30.2</v>
      </c>
      <c r="CK261" s="319">
        <v>0</v>
      </c>
      <c r="CL261" s="319">
        <v>61</v>
      </c>
      <c r="CM261" s="319">
        <v>225</v>
      </c>
      <c r="CN261" s="442"/>
    </row>
    <row r="262" spans="1:112" s="337" customFormat="1" ht="15">
      <c r="A262" s="309">
        <f t="shared" si="194"/>
        <v>41417</v>
      </c>
      <c r="B262" s="310">
        <v>0.33333333333333331</v>
      </c>
      <c r="C262" s="311">
        <f t="shared" si="244"/>
        <v>24</v>
      </c>
      <c r="D262" s="436">
        <v>3</v>
      </c>
      <c r="E262" s="319">
        <v>75.3</v>
      </c>
      <c r="F262" s="319">
        <v>41400</v>
      </c>
      <c r="G262" s="319"/>
      <c r="H262" s="319"/>
      <c r="I262" s="319">
        <v>3565</v>
      </c>
      <c r="J262" s="317"/>
      <c r="K262" s="317"/>
      <c r="L262" s="320"/>
      <c r="M262" s="317"/>
      <c r="N262" s="319"/>
      <c r="O262" s="472"/>
      <c r="P262" s="763"/>
      <c r="Q262" s="764"/>
      <c r="R262" s="765"/>
      <c r="S262" s="317"/>
      <c r="T262" s="317"/>
      <c r="U262" s="757"/>
      <c r="V262" s="318">
        <v>2.2999999999999998</v>
      </c>
      <c r="W262" s="319">
        <v>66.099999999999994</v>
      </c>
      <c r="X262" s="319">
        <v>25400</v>
      </c>
      <c r="Y262" s="319"/>
      <c r="Z262" s="319">
        <v>1669</v>
      </c>
      <c r="AA262" s="317"/>
      <c r="AB262" s="317"/>
      <c r="AC262" s="320"/>
      <c r="AD262" s="752">
        <f>D261*(100-E261)/(100-W262)</f>
        <v>1.790619469026548</v>
      </c>
      <c r="AE262" s="753">
        <f>D261-V262</f>
        <v>0.7200000000000002</v>
      </c>
      <c r="AF262" s="754">
        <f>100*(AVERAGE(D$234,D$232,D$227,D$246,D$225,D$248,D$255,D$261,D$234,D$238)-V262)/AVERAGE(D$234,D$232,D$227,D$246,D$225,D$248,D$255,D$261,D$234,D$238)</f>
        <v>33.302594495318708</v>
      </c>
      <c r="AG262" s="754">
        <f>100*(1-((100-AVERAGE(E$232,E$227,E$246,E$225,E$248,E$255,E$261,E$234,E$238))/(100-W262)))</f>
        <v>37.667159509975193</v>
      </c>
      <c r="AH262" s="746">
        <f>E261-W262</f>
        <v>13.800000000000011</v>
      </c>
      <c r="AI262" s="846">
        <f>100*(1-((V262*W262)/(AVERAGE(D$234,D$232,D$227,D$246,D$225,D$248,D$255,D$261,D$234,D$238)*AVERAGE(E$232,E$227,E$246,E$225,E$248,E$255,E$261,E$234,E$238))))</f>
        <v>44.101114954979359</v>
      </c>
      <c r="AJ262" s="846">
        <f>100*100*((AVERAGE(E$232,E$227,E$246,E$225,E$248,E$255,E$261,E$234,E$238)-W262)/((100-W262)*AVERAGE(E$232,E$227,E$246,E$225,E$248,E$255,E$261,E$234,E$238)))</f>
        <v>47.759043118447096</v>
      </c>
      <c r="AK262" s="330"/>
      <c r="AL262" s="330">
        <v>35.5</v>
      </c>
      <c r="AM262" s="348">
        <v>5197</v>
      </c>
      <c r="AN262" s="846">
        <f t="shared" si="224"/>
        <v>60.480000000000004</v>
      </c>
      <c r="AO262" s="847">
        <f t="shared" si="225"/>
        <v>23.363095238095237</v>
      </c>
      <c r="AP262" s="348">
        <v>2968</v>
      </c>
      <c r="AQ262" s="348">
        <f t="shared" si="181"/>
        <v>216751.25625000001</v>
      </c>
      <c r="AR262" s="348">
        <f t="shared" ref="AR262" si="257">(AQ262-AQ261)/(C262/24)</f>
        <v>905.203125</v>
      </c>
      <c r="AS262" s="512">
        <f t="shared" ref="AS262" si="258">(AQ262-AQ261)/C262</f>
        <v>37.716796875</v>
      </c>
      <c r="AT262" s="348">
        <f>AR262/(AVERAGE(AN262)*(AVERAGE(D$232,D$227,D$246,D$225,D$248,D$255,D$261,D$234,D$238))*AVERAGE(E$232,E$227,E$246,E$225,E$248,E$255,E$261,E$234,E$238)*0.0001)</f>
        <v>556.61656645528831</v>
      </c>
      <c r="AU262" s="348">
        <f>(AQ262-AQ233)/(AVERAGE(AN233:AN262)*((AVERAGE(D$246,D$232,D$261,D$255,D$234,D$238)*AVERAGE(E$246,E$232,E$261,E$255,E$234,E$238))-(V262*W262))*0.0001*(SUM(C233:C262)/24))</f>
        <v>1344.6478651630498</v>
      </c>
      <c r="AV262" s="945">
        <f>AR262/(AVERAGE(AN262)*AVERAGE(D$232,D$227,D$246,D$225,D$248,D$255,D$261,D$234,D$238)*0.01)</f>
        <v>438.9988497585245</v>
      </c>
      <c r="AW262" s="848">
        <f t="shared" si="221"/>
        <v>0.640625</v>
      </c>
      <c r="AX262" s="330"/>
      <c r="AY262" s="330"/>
      <c r="AZ262" s="319"/>
      <c r="BA262" s="319"/>
      <c r="BB262" s="319"/>
      <c r="BC262" s="320"/>
      <c r="BD262" s="368"/>
      <c r="BE262" s="330"/>
      <c r="BF262" s="757"/>
      <c r="BG262" s="318">
        <v>2.2999999999999998</v>
      </c>
      <c r="BH262" s="319">
        <v>63.9</v>
      </c>
      <c r="BI262" s="319">
        <v>26100</v>
      </c>
      <c r="BJ262" s="319"/>
      <c r="BK262" s="319">
        <v>2280</v>
      </c>
      <c r="BL262" s="317"/>
      <c r="BM262" s="317"/>
      <c r="BN262" s="320"/>
      <c r="BO262" s="745">
        <f>D261*(100-E261)/(100-BH262)</f>
        <v>1.6814958448753456</v>
      </c>
      <c r="BP262" s="746">
        <f>D261-BG262</f>
        <v>0.7200000000000002</v>
      </c>
      <c r="BQ262" s="747">
        <f>100*(AVERAGE(D$234,D$232,D$227,D$246,D$225,D$248,D$255,D$261,D$234,D$238)-BG262)/AVERAGE(D$234,D$232,D$227,D$246,D$225,D$248,D$255,D$261,D$234,D$238)</f>
        <v>33.302594495318708</v>
      </c>
      <c r="BR262" s="748">
        <f>100*(1-((100-AVERAGE(E$232,E$227,E$246,E$225,E$248,E$255,E$261,E$234,E$238))/(100-BH262)))</f>
        <v>41.465836769755086</v>
      </c>
      <c r="BS262" s="749">
        <f>E261-BH262</f>
        <v>16.000000000000007</v>
      </c>
      <c r="BT262" s="750">
        <f>100*(1-((BG262*BH262)/(AVERAGE(D$234,D$232,D$227,D$246,D$225,D$248,D$255,D$261,D$234,D$238)*AVERAGE(E$232,E$227,E$246,E$225,E$248,E$255,E$261,E$234,E$238))))</f>
        <v>45.961592218202426</v>
      </c>
      <c r="BU262" s="751">
        <f>100*100*((AVERAGE(E$232,E$227,E$246,E$225,E$248,E$255,E$261,E$234,E$238)-BH262)/((100-BH262)*AVERAGE(E$232,E$227,E$246,E$225,E$248,E$255,E$261,E$234,E$238)))</f>
        <v>52.575471896275374</v>
      </c>
      <c r="BV262" s="318"/>
      <c r="BW262" s="319">
        <v>50.9</v>
      </c>
      <c r="BX262" s="319">
        <v>2969</v>
      </c>
      <c r="BY262" s="462">
        <f t="shared" ref="BY262:BY263" si="259">(BX262-BX261)*CB$1/((C262)/24)</f>
        <v>32</v>
      </c>
      <c r="BZ262" s="462">
        <f t="shared" ref="BZ262:BZ263" si="260">CB$3/BY262</f>
        <v>23.3125</v>
      </c>
      <c r="CA262" s="313">
        <v>1638</v>
      </c>
      <c r="CB262" s="348">
        <f t="shared" si="249"/>
        <v>119790.01875</v>
      </c>
      <c r="CC262" s="334">
        <f t="shared" ref="CC262:CC263" si="261">(CB262-CB261)/((C262/24))</f>
        <v>551.953125</v>
      </c>
      <c r="CD262" s="334">
        <f t="shared" ref="CD262:CD263" si="262">(CB262-CB261)/(C262)</f>
        <v>22.998046875</v>
      </c>
      <c r="CE262" s="756">
        <f>CC262/(AVERAGE(BY261,BY262)*(AVERAGE(D$232,D$227,D$246,D$225,D$248,D$255,D$261,D$234,D$238))*AVERAGE(E$232,E$227,E$246,E$225,E$248,E$255,E$261,E$234,E$238)*0.0001)</f>
        <v>641.46665280517982</v>
      </c>
      <c r="CF262" s="313">
        <f>(CB262-CB233)/(AVERAGE(BY233:BY262)*((AVERAGE(D$255,D$232,D$248,D$261,D$225,D$227,D$246,D$238)*AVERAGE(E$255,E$232,E$248,E$261,E$225,E$227,E$246,D$238))-(BG262*BH262))*0.0001*(SUM(C233:C262)/24))</f>
        <v>2016.4951488579698</v>
      </c>
      <c r="CG262" s="313">
        <f>CC262/(AVERAGE(BY262)*AVERAGE((D$232,D$227,D$246,D$225,D$248,D$255,D$261,D$234,D$238))*0.01)</f>
        <v>505.91940612415317</v>
      </c>
      <c r="CH262" s="477">
        <f t="shared" si="201"/>
        <v>0.73988354557640745</v>
      </c>
      <c r="CI262" s="319"/>
      <c r="CJ262" s="319"/>
      <c r="CK262" s="319"/>
      <c r="CL262" s="319"/>
      <c r="CM262" s="319"/>
      <c r="CN262" s="442"/>
    </row>
    <row r="263" spans="1:112" s="677" customFormat="1" ht="15">
      <c r="A263" s="141">
        <f t="shared" si="194"/>
        <v>41418</v>
      </c>
      <c r="B263" s="663">
        <v>0.33333333333333331</v>
      </c>
      <c r="C263" s="304">
        <f t="shared" si="244"/>
        <v>24</v>
      </c>
      <c r="D263" s="665"/>
      <c r="E263" s="293"/>
      <c r="F263" s="293"/>
      <c r="G263" s="293"/>
      <c r="H263" s="293"/>
      <c r="I263" s="293"/>
      <c r="J263" s="666"/>
      <c r="K263" s="666"/>
      <c r="L263" s="299"/>
      <c r="M263" s="666">
        <v>55</v>
      </c>
      <c r="N263" s="293">
        <v>85</v>
      </c>
      <c r="O263" s="667"/>
      <c r="P263" s="665">
        <v>420</v>
      </c>
      <c r="Q263" s="210">
        <f>P263/((N263-M263)*N$4)</f>
        <v>2.7866242038216562</v>
      </c>
      <c r="R263" s="225">
        <f>10*Q263/(AVERAGE(D$261,D$262))</f>
        <v>9.2578877203377292</v>
      </c>
      <c r="S263" s="666"/>
      <c r="T263" s="666"/>
      <c r="U263" s="666"/>
      <c r="V263" s="665"/>
      <c r="W263" s="293"/>
      <c r="X263" s="293"/>
      <c r="Y263" s="293"/>
      <c r="Z263" s="293"/>
      <c r="AA263" s="666"/>
      <c r="AB263" s="666"/>
      <c r="AC263" s="299"/>
      <c r="AD263" s="298"/>
      <c r="AE263" s="298"/>
      <c r="AF263" s="298"/>
      <c r="AG263" s="293"/>
      <c r="AH263" s="293"/>
      <c r="AI263" s="296"/>
      <c r="AJ263" s="296"/>
      <c r="AK263" s="296"/>
      <c r="AL263" s="296">
        <v>35.700000000000003</v>
      </c>
      <c r="AM263" s="490">
        <v>5225</v>
      </c>
      <c r="AN263" s="849">
        <f t="shared" ref="AN263" si="263">(AM263-AM262)*AQ$1/((C262)/24)</f>
        <v>60.480000000000004</v>
      </c>
      <c r="AO263" s="850">
        <f t="shared" ref="AO263" si="264">AQ$3/AN263</f>
        <v>23.363095238095237</v>
      </c>
      <c r="AP263" s="490">
        <v>2983</v>
      </c>
      <c r="AQ263" s="490">
        <f t="shared" si="181"/>
        <v>217656.45937500001</v>
      </c>
      <c r="AR263" s="76">
        <f t="shared" ref="AR263" si="265">(AQ263-AQ262)/(C263/24)</f>
        <v>905.203125</v>
      </c>
      <c r="AS263" s="230">
        <f t="shared" ref="AS263" si="266">(AQ263-AQ262)/C263</f>
        <v>37.716796875</v>
      </c>
      <c r="AT263" s="76">
        <f>AR263/(AVERAGE(AN263)*(AVERAGE(D$232,D$227,D$246,D$262,D$248,D$255,D$261,D$234,D$238))*AVERAGE(E$232,E$227,E$246,E$262,E$248,E$255,E$261,E$234,E$238)*0.0001)</f>
        <v>567.14048484731813</v>
      </c>
      <c r="AU263" s="296"/>
      <c r="AV263" s="151">
        <f>AR263/(AVERAGE(AN263)*AVERAGE(D$232,D$227,D$246,D$262,D$248,D$255,D$261,D$234,D$238)*0.01)</f>
        <v>444.79725684358243</v>
      </c>
      <c r="AW263" s="851">
        <f t="shared" si="221"/>
        <v>0.640625</v>
      </c>
      <c r="AX263" s="296"/>
      <c r="AY263" s="296"/>
      <c r="AZ263" s="293"/>
      <c r="BA263" s="293"/>
      <c r="BB263" s="293"/>
      <c r="BC263" s="299"/>
      <c r="BD263" s="671"/>
      <c r="BE263" s="296"/>
      <c r="BF263" s="666"/>
      <c r="BG263" s="665"/>
      <c r="BH263" s="293"/>
      <c r="BI263" s="293"/>
      <c r="BJ263" s="293"/>
      <c r="BK263" s="293"/>
      <c r="BL263" s="666"/>
      <c r="BM263" s="666"/>
      <c r="BN263" s="299"/>
      <c r="BO263" s="298"/>
      <c r="BP263" s="298"/>
      <c r="BQ263" s="298"/>
      <c r="BR263" s="293"/>
      <c r="BS263" s="671"/>
      <c r="BT263" s="293"/>
      <c r="BU263" s="675"/>
      <c r="BV263" s="665"/>
      <c r="BW263" s="293">
        <v>51</v>
      </c>
      <c r="BX263" s="293">
        <v>2985</v>
      </c>
      <c r="BY263" s="443">
        <f t="shared" si="259"/>
        <v>32</v>
      </c>
      <c r="BZ263" s="443">
        <f t="shared" si="260"/>
        <v>23.3125</v>
      </c>
      <c r="CA263" s="301">
        <v>1646</v>
      </c>
      <c r="CB263" s="490">
        <f t="shared" si="249"/>
        <v>120280.64375</v>
      </c>
      <c r="CC263" s="289">
        <f t="shared" si="261"/>
        <v>490.625</v>
      </c>
      <c r="CD263" s="289">
        <f t="shared" si="262"/>
        <v>20.442708333333332</v>
      </c>
      <c r="CE263" s="761">
        <f>CC263/(AVERAGE(BY262,BY263)*(AVERAGE(D$232,D$227,D$246,D$262,D$248,D$255,D$261,D$234,D$238))*AVERAGE(E$232,E$227,E$246,E$262,E$248,E$255,E$261,E$234,E$238)*0.0001)</f>
        <v>580.97317959969178</v>
      </c>
      <c r="CF263" s="66"/>
      <c r="CG263" s="72">
        <f>CC263/(AVERAGE(BY263)*AVERAGE((D$232,D$227,D$246,D$262,D$248,D$255,D$261,D$234,D$238))*0.01)</f>
        <v>455.64597042513327</v>
      </c>
      <c r="CH263" s="433">
        <f t="shared" si="201"/>
        <v>0.6576742627345844</v>
      </c>
      <c r="CI263" s="293"/>
      <c r="CJ263" s="293"/>
      <c r="CK263" s="293"/>
      <c r="CL263" s="293"/>
      <c r="CM263" s="293"/>
      <c r="CN263" s="676"/>
    </row>
    <row r="264" spans="1:112" s="677" customFormat="1" ht="15">
      <c r="A264" s="141">
        <f t="shared" si="194"/>
        <v>41419</v>
      </c>
      <c r="B264" s="663">
        <v>0.33333333333333331</v>
      </c>
      <c r="C264" s="304">
        <f t="shared" si="244"/>
        <v>24</v>
      </c>
      <c r="D264" s="665"/>
      <c r="E264" s="293"/>
      <c r="F264" s="293"/>
      <c r="G264" s="293"/>
      <c r="H264" s="293"/>
      <c r="I264" s="293"/>
      <c r="J264" s="666"/>
      <c r="K264" s="666"/>
      <c r="L264" s="299"/>
      <c r="M264" s="666"/>
      <c r="N264" s="293"/>
      <c r="O264" s="667"/>
      <c r="P264" s="773"/>
      <c r="Q264" s="774"/>
      <c r="R264" s="775"/>
      <c r="S264" s="666"/>
      <c r="T264" s="666"/>
      <c r="U264" s="666"/>
      <c r="V264" s="665"/>
      <c r="W264" s="293"/>
      <c r="X264" s="293"/>
      <c r="Y264" s="293"/>
      <c r="Z264" s="293"/>
      <c r="AA264" s="666"/>
      <c r="AB264" s="666"/>
      <c r="AC264" s="299"/>
      <c r="AD264" s="298"/>
      <c r="AE264" s="298"/>
      <c r="AF264" s="298"/>
      <c r="AG264" s="293"/>
      <c r="AH264" s="293"/>
      <c r="AI264" s="296"/>
      <c r="AJ264" s="296"/>
      <c r="AK264" s="296"/>
      <c r="AL264" s="296">
        <v>35.5</v>
      </c>
      <c r="AM264" s="490">
        <v>5253</v>
      </c>
      <c r="AN264" s="849">
        <f t="shared" ref="AN264:AN268" si="267">(AM264-AM263)*AQ$1/((C263)/24)</f>
        <v>60.480000000000004</v>
      </c>
      <c r="AO264" s="850">
        <f t="shared" ref="AO264:AO268" si="268">AQ$3/AN264</f>
        <v>23.363095238095237</v>
      </c>
      <c r="AP264" s="490">
        <v>2998</v>
      </c>
      <c r="AQ264" s="490">
        <f t="shared" si="181"/>
        <v>218561.66250000001</v>
      </c>
      <c r="AR264" s="76">
        <f t="shared" ref="AR264:AR268" si="269">(AQ264-AQ263)/(C264/24)</f>
        <v>905.203125</v>
      </c>
      <c r="AS264" s="230">
        <f t="shared" ref="AS264:AS268" si="270">(AQ264-AQ263)/C264</f>
        <v>37.716796875</v>
      </c>
      <c r="AT264" s="76">
        <f t="shared" ref="AT264:AT274" si="271">AR264/(AVERAGE(AN264)*(AVERAGE(D$232,D$227,D$246,D$262,D$248,D$255,D$261,D$234,D$238))*AVERAGE(E$232,E$227,E$246,E$262,E$248,E$255,E$261,E$234,E$238)*0.0001)</f>
        <v>567.14048484731813</v>
      </c>
      <c r="AU264" s="296"/>
      <c r="AV264" s="151">
        <f t="shared" ref="AV264:AV274" si="272">AR264/(AVERAGE(AN264)*AVERAGE(D$232,D$227,D$246,D$262,D$248,D$255,D$261,D$234,D$238)*0.01)</f>
        <v>444.79725684358243</v>
      </c>
      <c r="AW264" s="851">
        <f t="shared" si="221"/>
        <v>0.640625</v>
      </c>
      <c r="AX264" s="296"/>
      <c r="AY264" s="296"/>
      <c r="AZ264" s="293"/>
      <c r="BA264" s="293"/>
      <c r="BB264" s="293"/>
      <c r="BC264" s="299"/>
      <c r="BD264" s="671"/>
      <c r="BE264" s="296"/>
      <c r="BF264" s="666"/>
      <c r="BG264" s="665"/>
      <c r="BH264" s="293"/>
      <c r="BI264" s="293"/>
      <c r="BJ264" s="293"/>
      <c r="BK264" s="293"/>
      <c r="BL264" s="666"/>
      <c r="BM264" s="666"/>
      <c r="BN264" s="299"/>
      <c r="BO264" s="298"/>
      <c r="BP264" s="298"/>
      <c r="BQ264" s="298"/>
      <c r="BR264" s="293"/>
      <c r="BS264" s="671"/>
      <c r="BT264" s="293"/>
      <c r="BU264" s="675"/>
      <c r="BV264" s="665"/>
      <c r="BW264" s="293">
        <v>51</v>
      </c>
      <c r="BX264" s="293">
        <v>2999</v>
      </c>
      <c r="BY264" s="443">
        <f t="shared" ref="BY264:BY268" si="273">(BX264-BX263)*CB$1/((C264)/24)</f>
        <v>28</v>
      </c>
      <c r="BZ264" s="443">
        <f t="shared" ref="BZ264:BZ268" si="274">CB$3/BY264</f>
        <v>26.642857142857142</v>
      </c>
      <c r="CA264" s="301">
        <v>1655</v>
      </c>
      <c r="CB264" s="490">
        <f t="shared" si="249"/>
        <v>120832.596875</v>
      </c>
      <c r="CC264" s="289">
        <f t="shared" ref="CC264:CC268" si="275">(CB264-CB263)/((C264/24))</f>
        <v>551.953125</v>
      </c>
      <c r="CD264" s="289">
        <f t="shared" ref="CD264:CD268" si="276">(CB264-CB263)/(C264)</f>
        <v>22.998046875</v>
      </c>
      <c r="CE264" s="761">
        <f t="shared" ref="CE264:CE274" si="277">CC264/(AVERAGE(BY263,BY264)*(AVERAGE(D$232,D$227,D$246,D$262,D$248,D$255,D$261,D$234,D$238))*AVERAGE(E$232,E$227,E$246,E$262,E$248,E$255,E$261,E$234,E$238)*0.0001)</f>
        <v>697.16781551963004</v>
      </c>
      <c r="CF264" s="66"/>
      <c r="CG264" s="72">
        <f>CC264/(AVERAGE(BY264)*AVERAGE((D$232,D$227,D$246,D$262,D$248,D$255,D$261,D$234,D$238))*0.01)</f>
        <v>585.83053340374283</v>
      </c>
      <c r="CH264" s="433">
        <f t="shared" si="201"/>
        <v>0.73988354557640745</v>
      </c>
      <c r="CI264" s="293"/>
      <c r="CJ264" s="293"/>
      <c r="CK264" s="293"/>
      <c r="CL264" s="293"/>
      <c r="CM264" s="293"/>
      <c r="CN264" s="676"/>
      <c r="CQ264" s="677" t="s">
        <v>67</v>
      </c>
      <c r="CX264" s="677" t="s">
        <v>40</v>
      </c>
      <c r="CY264" s="677" t="s">
        <v>46</v>
      </c>
      <c r="DG264" s="677" t="s">
        <v>40</v>
      </c>
      <c r="DH264" s="677" t="s">
        <v>46</v>
      </c>
    </row>
    <row r="265" spans="1:112" s="677" customFormat="1" ht="26.25" thickBot="1">
      <c r="A265" s="141">
        <f t="shared" si="194"/>
        <v>41420</v>
      </c>
      <c r="B265" s="663">
        <v>0.33333333333333331</v>
      </c>
      <c r="C265" s="304">
        <f t="shared" si="244"/>
        <v>24</v>
      </c>
      <c r="D265" s="665"/>
      <c r="E265" s="293"/>
      <c r="F265" s="293"/>
      <c r="G265" s="293"/>
      <c r="H265" s="293"/>
      <c r="I265" s="293"/>
      <c r="J265" s="666"/>
      <c r="K265" s="666"/>
      <c r="L265" s="299"/>
      <c r="M265" s="666">
        <v>50</v>
      </c>
      <c r="N265" s="293">
        <v>80</v>
      </c>
      <c r="O265" s="667"/>
      <c r="P265" s="665">
        <v>420</v>
      </c>
      <c r="Q265" s="210">
        <f>P265/((N265-M265)*N$4)</f>
        <v>2.7866242038216562</v>
      </c>
      <c r="R265" s="225">
        <f>10*Q265/(AVERAGE(D$261,D$262))</f>
        <v>9.2578877203377292</v>
      </c>
      <c r="S265" s="666"/>
      <c r="T265" s="666"/>
      <c r="U265" s="777"/>
      <c r="V265" s="665"/>
      <c r="W265" s="293"/>
      <c r="X265" s="293"/>
      <c r="Y265" s="293"/>
      <c r="Z265" s="293"/>
      <c r="AA265" s="666"/>
      <c r="AB265" s="666"/>
      <c r="AC265" s="299"/>
      <c r="AD265" s="298"/>
      <c r="AE265" s="298"/>
      <c r="AF265" s="298"/>
      <c r="AG265" s="293"/>
      <c r="AH265" s="293"/>
      <c r="AI265" s="296"/>
      <c r="AJ265" s="296"/>
      <c r="AK265" s="296"/>
      <c r="AL265" s="296">
        <v>35.700000000000003</v>
      </c>
      <c r="AM265" s="490">
        <v>5281</v>
      </c>
      <c r="AN265" s="849">
        <f t="shared" si="267"/>
        <v>60.480000000000004</v>
      </c>
      <c r="AO265" s="850">
        <f t="shared" si="268"/>
        <v>23.363095238095237</v>
      </c>
      <c r="AP265" s="490">
        <v>3013</v>
      </c>
      <c r="AQ265" s="490">
        <f t="shared" si="181"/>
        <v>219466.86562500001</v>
      </c>
      <c r="AR265" s="76">
        <f t="shared" si="269"/>
        <v>905.203125</v>
      </c>
      <c r="AS265" s="230">
        <f t="shared" si="270"/>
        <v>37.716796875</v>
      </c>
      <c r="AT265" s="76">
        <f t="shared" si="271"/>
        <v>567.14048484731813</v>
      </c>
      <c r="AU265" s="296"/>
      <c r="AV265" s="151">
        <f t="shared" si="272"/>
        <v>444.79725684358243</v>
      </c>
      <c r="AW265" s="851">
        <f t="shared" si="221"/>
        <v>0.640625</v>
      </c>
      <c r="AX265" s="296"/>
      <c r="AY265" s="296"/>
      <c r="AZ265" s="293"/>
      <c r="BA265" s="293"/>
      <c r="BB265" s="293"/>
      <c r="BC265" s="789"/>
      <c r="BD265" s="671"/>
      <c r="BE265" s="296"/>
      <c r="BF265" s="777"/>
      <c r="BG265" s="665"/>
      <c r="BH265" s="293"/>
      <c r="BI265" s="293"/>
      <c r="BJ265" s="293"/>
      <c r="BK265" s="293"/>
      <c r="BL265" s="666"/>
      <c r="BM265" s="666"/>
      <c r="BN265" s="299"/>
      <c r="BO265" s="298"/>
      <c r="BP265" s="298"/>
      <c r="BQ265" s="298"/>
      <c r="BR265" s="293"/>
      <c r="BS265" s="671"/>
      <c r="BT265" s="293"/>
      <c r="BU265" s="675"/>
      <c r="BV265" s="665"/>
      <c r="BW265" s="293">
        <v>50.9</v>
      </c>
      <c r="BX265" s="293">
        <v>3015</v>
      </c>
      <c r="BY265" s="443">
        <f t="shared" si="273"/>
        <v>32</v>
      </c>
      <c r="BZ265" s="443">
        <f t="shared" si="274"/>
        <v>23.3125</v>
      </c>
      <c r="CA265" s="301">
        <v>1663</v>
      </c>
      <c r="CB265" s="490">
        <f t="shared" si="249"/>
        <v>121323.221875</v>
      </c>
      <c r="CC265" s="289">
        <f t="shared" si="275"/>
        <v>490.625</v>
      </c>
      <c r="CD265" s="289">
        <f t="shared" si="276"/>
        <v>20.442708333333332</v>
      </c>
      <c r="CE265" s="761">
        <f t="shared" si="277"/>
        <v>619.7047249063379</v>
      </c>
      <c r="CF265" s="66"/>
      <c r="CG265" s="72">
        <f>CC265/(AVERAGE(BY265)*AVERAGE((D$232,D$227,D$246,D$262,D$248,D$255,D$261,D$234,D$238))*0.01)</f>
        <v>455.64597042513327</v>
      </c>
      <c r="CH265" s="433">
        <f t="shared" si="201"/>
        <v>0.6576742627345844</v>
      </c>
      <c r="CI265" s="293"/>
      <c r="CJ265" s="293"/>
      <c r="CK265" s="293"/>
      <c r="CL265" s="293"/>
      <c r="CM265" s="293"/>
      <c r="CN265" s="789"/>
      <c r="CP265" s="790" t="s">
        <v>6</v>
      </c>
      <c r="CQ265" s="790" t="s">
        <v>57</v>
      </c>
      <c r="CR265" s="790" t="s">
        <v>52</v>
      </c>
      <c r="CS265" s="790" t="s">
        <v>58</v>
      </c>
      <c r="CT265" s="790" t="s">
        <v>58</v>
      </c>
      <c r="CU265" s="790" t="s">
        <v>59</v>
      </c>
      <c r="CV265" s="790"/>
      <c r="CW265" s="790" t="s">
        <v>60</v>
      </c>
      <c r="CX265" s="790" t="s">
        <v>60</v>
      </c>
      <c r="CY265" s="790" t="s">
        <v>60</v>
      </c>
      <c r="CZ265" s="790" t="s">
        <v>6</v>
      </c>
      <c r="DA265" s="790" t="s">
        <v>57</v>
      </c>
      <c r="DB265" s="791" t="s">
        <v>52</v>
      </c>
      <c r="DC265" s="791" t="s">
        <v>58</v>
      </c>
      <c r="DD265" s="791" t="s">
        <v>58</v>
      </c>
      <c r="DE265" s="791" t="s">
        <v>59</v>
      </c>
      <c r="DF265" s="791" t="s">
        <v>60</v>
      </c>
      <c r="DG265" s="791" t="s">
        <v>60</v>
      </c>
      <c r="DH265" s="791" t="s">
        <v>60</v>
      </c>
    </row>
    <row r="266" spans="1:112" s="677" customFormat="1" ht="15.75" thickBot="1">
      <c r="A266" s="141">
        <f t="shared" si="194"/>
        <v>41421</v>
      </c>
      <c r="B266" s="663">
        <v>0.33333333333333331</v>
      </c>
      <c r="C266" s="304">
        <f t="shared" si="244"/>
        <v>24</v>
      </c>
      <c r="D266" s="665"/>
      <c r="E266" s="293"/>
      <c r="F266" s="293"/>
      <c r="G266" s="293"/>
      <c r="H266" s="293"/>
      <c r="I266" s="293"/>
      <c r="J266" s="666"/>
      <c r="K266" s="666"/>
      <c r="L266" s="299"/>
      <c r="M266" s="666">
        <v>65</v>
      </c>
      <c r="N266" s="293">
        <v>85</v>
      </c>
      <c r="O266" s="667"/>
      <c r="P266" s="773">
        <v>280</v>
      </c>
      <c r="Q266" s="210">
        <f>P266/((N266-M266)*N$4)</f>
        <v>2.7866242038216558</v>
      </c>
      <c r="R266" s="225">
        <f>10*Q266/(AVERAGE(D$261,D$262))</f>
        <v>9.2578877203377274</v>
      </c>
      <c r="S266" s="786"/>
      <c r="T266" s="786"/>
      <c r="U266" s="777"/>
      <c r="V266" s="665"/>
      <c r="W266" s="293"/>
      <c r="X266" s="293"/>
      <c r="Y266" s="293"/>
      <c r="Z266" s="293"/>
      <c r="AA266" s="666"/>
      <c r="AB266" s="666"/>
      <c r="AC266" s="299"/>
      <c r="AD266" s="298"/>
      <c r="AE266" s="298"/>
      <c r="AF266" s="298"/>
      <c r="AG266" s="293"/>
      <c r="AH266" s="293"/>
      <c r="AI266" s="296"/>
      <c r="AJ266" s="296"/>
      <c r="AK266" s="296"/>
      <c r="AL266" s="296">
        <v>35.6</v>
      </c>
      <c r="AM266" s="490">
        <v>5312</v>
      </c>
      <c r="AN266" s="849">
        <f t="shared" si="267"/>
        <v>66.960000000000008</v>
      </c>
      <c r="AO266" s="850">
        <f t="shared" si="268"/>
        <v>21.102150537634405</v>
      </c>
      <c r="AP266" s="490">
        <v>3029</v>
      </c>
      <c r="AQ266" s="490">
        <f t="shared" si="181"/>
        <v>220432.41562500002</v>
      </c>
      <c r="AR266" s="76">
        <f t="shared" si="269"/>
        <v>965.55000000001746</v>
      </c>
      <c r="AS266" s="230">
        <f t="shared" si="270"/>
        <v>40.231250000000728</v>
      </c>
      <c r="AT266" s="76">
        <f t="shared" si="271"/>
        <v>546.40631658409268</v>
      </c>
      <c r="AU266" s="296"/>
      <c r="AV266" s="151">
        <f t="shared" si="272"/>
        <v>428.53585175468504</v>
      </c>
      <c r="AW266" s="851">
        <f t="shared" si="221"/>
        <v>0.68333333333334567</v>
      </c>
      <c r="AX266" s="296"/>
      <c r="AY266" s="296"/>
      <c r="AZ266" s="293"/>
      <c r="BA266" s="293"/>
      <c r="BB266" s="293"/>
      <c r="BC266" s="789"/>
      <c r="BD266" s="792"/>
      <c r="BE266" s="792"/>
      <c r="BF266" s="777"/>
      <c r="BG266" s="665"/>
      <c r="BH266" s="293"/>
      <c r="BI266" s="293"/>
      <c r="BJ266" s="293"/>
      <c r="BK266" s="293"/>
      <c r="BL266" s="666"/>
      <c r="BM266" s="666"/>
      <c r="BN266" s="299"/>
      <c r="BO266" s="298"/>
      <c r="BP266" s="298"/>
      <c r="BQ266" s="298"/>
      <c r="BR266" s="293"/>
      <c r="BS266" s="671"/>
      <c r="BT266" s="293"/>
      <c r="BU266" s="675"/>
      <c r="BV266" s="665"/>
      <c r="BW266" s="293">
        <v>51</v>
      </c>
      <c r="BX266" s="293">
        <v>3035</v>
      </c>
      <c r="BY266" s="443">
        <f t="shared" si="273"/>
        <v>40</v>
      </c>
      <c r="BZ266" s="443">
        <f t="shared" si="274"/>
        <v>18.649999999999999</v>
      </c>
      <c r="CA266" s="301">
        <v>1673</v>
      </c>
      <c r="CB266" s="490">
        <f t="shared" si="249"/>
        <v>121936.503125</v>
      </c>
      <c r="CC266" s="289">
        <f t="shared" si="275"/>
        <v>613.28125</v>
      </c>
      <c r="CD266" s="289">
        <f t="shared" si="276"/>
        <v>25.553385416666668</v>
      </c>
      <c r="CE266" s="761">
        <f t="shared" si="277"/>
        <v>645.52575511076861</v>
      </c>
      <c r="CF266" s="66"/>
      <c r="CG266" s="72">
        <f>CC266/(AVERAGE(BY266)*AVERAGE((D$232,D$227,D$246,D$262,D$248,D$255,D$261,D$234,D$238))*0.01)</f>
        <v>455.64597042513327</v>
      </c>
      <c r="CH266" s="433">
        <f t="shared" si="201"/>
        <v>0.82209282841823061</v>
      </c>
      <c r="CI266" s="293"/>
      <c r="CJ266" s="293"/>
      <c r="CK266" s="293"/>
      <c r="CL266" s="293"/>
      <c r="CM266" s="293"/>
      <c r="CN266" s="830" t="s">
        <v>154</v>
      </c>
      <c r="CP266" s="677" t="s">
        <v>64</v>
      </c>
      <c r="CQ266" s="793">
        <f>MIN(AR195:AR268)</f>
        <v>724.16250000000582</v>
      </c>
      <c r="CR266" s="793">
        <f>MIN(AS195:AS268)</f>
        <v>30.173437500000244</v>
      </c>
      <c r="CS266" s="793">
        <f>MIN(AT195:AT268)</f>
        <v>450.19409008939573</v>
      </c>
      <c r="CT266" s="793" t="e">
        <f>MIN(#REF!)</f>
        <v>#REF!</v>
      </c>
      <c r="CU266" s="793">
        <f>MIN(AU195:AU268)</f>
        <v>1225.2606965857706</v>
      </c>
      <c r="CV266" s="793"/>
      <c r="CW266" s="793">
        <f>MIN(AV195:AV268)</f>
        <v>356.09477331999562</v>
      </c>
      <c r="CX266" s="793" t="e">
        <f>MIN(#REF!)</f>
        <v>#REF!</v>
      </c>
      <c r="CY266" s="793" t="e">
        <f>MIN(#REF!)</f>
        <v>#REF!</v>
      </c>
      <c r="CZ266" s="793"/>
      <c r="DA266" s="793">
        <f>MIN(CC195:CC268)</f>
        <v>388.79716981132071</v>
      </c>
      <c r="DB266" s="793">
        <f>MIN(CD195:CD268)</f>
        <v>16.199882075471699</v>
      </c>
      <c r="DC266" s="793">
        <f>MIN(CE195:CE268)</f>
        <v>451.49944562948434</v>
      </c>
      <c r="DD266" s="793" t="e">
        <f>MIN(#REF!)</f>
        <v>#REF!</v>
      </c>
      <c r="DE266" s="793">
        <f>MIN(CF195:CF268)</f>
        <v>1215.4388121460202</v>
      </c>
      <c r="DF266" s="793">
        <f>MIN(CG195:CG268)</f>
        <v>300.93675899848375</v>
      </c>
      <c r="DG266" s="793" t="e">
        <f>MIN(#REF!)</f>
        <v>#REF!</v>
      </c>
      <c r="DH266" s="793" t="e">
        <f>MIN(#REF!)</f>
        <v>#REF!</v>
      </c>
    </row>
    <row r="267" spans="1:112" s="677" customFormat="1" ht="15.75" thickBot="1">
      <c r="A267" s="141">
        <f t="shared" si="194"/>
        <v>41422</v>
      </c>
      <c r="B267" s="663">
        <v>0.33333333333333331</v>
      </c>
      <c r="C267" s="304">
        <f t="shared" si="244"/>
        <v>24</v>
      </c>
      <c r="D267" s="665"/>
      <c r="E267" s="293"/>
      <c r="F267" s="301"/>
      <c r="G267" s="293"/>
      <c r="H267" s="293"/>
      <c r="I267" s="301"/>
      <c r="J267" s="772"/>
      <c r="K267" s="772"/>
      <c r="L267" s="299"/>
      <c r="M267" s="666"/>
      <c r="N267" s="293"/>
      <c r="O267" s="667"/>
      <c r="P267" s="773"/>
      <c r="Q267" s="774"/>
      <c r="R267" s="775"/>
      <c r="S267" s="666"/>
      <c r="T267" s="666"/>
      <c r="U267" s="777"/>
      <c r="V267" s="665"/>
      <c r="W267" s="293"/>
      <c r="X267" s="293"/>
      <c r="Y267" s="293"/>
      <c r="Z267" s="293"/>
      <c r="AA267" s="666"/>
      <c r="AB267" s="666"/>
      <c r="AC267" s="299"/>
      <c r="AD267" s="298"/>
      <c r="AE267" s="298"/>
      <c r="AF267" s="298"/>
      <c r="AG267" s="293"/>
      <c r="AH267" s="293"/>
      <c r="AI267" s="296"/>
      <c r="AJ267" s="296"/>
      <c r="AK267" s="296"/>
      <c r="AL267" s="296">
        <v>35.700000000000003</v>
      </c>
      <c r="AM267" s="490">
        <v>5337</v>
      </c>
      <c r="AN267" s="849">
        <f t="shared" si="267"/>
        <v>54</v>
      </c>
      <c r="AO267" s="850">
        <f t="shared" si="268"/>
        <v>26.166666666666668</v>
      </c>
      <c r="AP267" s="490">
        <v>3043</v>
      </c>
      <c r="AQ267" s="490">
        <f t="shared" si="181"/>
        <v>221277.27187500001</v>
      </c>
      <c r="AR267" s="76">
        <f t="shared" si="269"/>
        <v>844.85624999998254</v>
      </c>
      <c r="AS267" s="230">
        <f t="shared" si="270"/>
        <v>35.202343749999272</v>
      </c>
      <c r="AT267" s="76">
        <f t="shared" si="271"/>
        <v>592.85085349371764</v>
      </c>
      <c r="AU267" s="296"/>
      <c r="AV267" s="151">
        <f t="shared" si="272"/>
        <v>464.96139915381525</v>
      </c>
      <c r="AW267" s="851">
        <f t="shared" si="221"/>
        <v>0.59791666666665433</v>
      </c>
      <c r="AX267" s="296"/>
      <c r="AY267" s="296"/>
      <c r="AZ267" s="293"/>
      <c r="BA267" s="293"/>
      <c r="BB267" s="293"/>
      <c r="BC267" s="299"/>
      <c r="BD267" s="671"/>
      <c r="BE267" s="671"/>
      <c r="BF267" s="777"/>
      <c r="BG267" s="665"/>
      <c r="BH267" s="293"/>
      <c r="BI267" s="293"/>
      <c r="BJ267" s="293"/>
      <c r="BK267" s="293"/>
      <c r="BL267" s="772"/>
      <c r="BM267" s="772"/>
      <c r="BN267" s="299"/>
      <c r="BO267" s="298"/>
      <c r="BP267" s="298"/>
      <c r="BQ267" s="298"/>
      <c r="BR267" s="293"/>
      <c r="BS267" s="671"/>
      <c r="BT267" s="293"/>
      <c r="BU267" s="675"/>
      <c r="BV267" s="665"/>
      <c r="BW267" s="293">
        <v>51</v>
      </c>
      <c r="BX267" s="293">
        <v>3048</v>
      </c>
      <c r="BY267" s="443">
        <f t="shared" si="273"/>
        <v>26</v>
      </c>
      <c r="BZ267" s="443">
        <f t="shared" si="274"/>
        <v>28.692307692307693</v>
      </c>
      <c r="CA267" s="301">
        <v>1681</v>
      </c>
      <c r="CB267" s="490">
        <f t="shared" si="249"/>
        <v>122427.128125</v>
      </c>
      <c r="CC267" s="289">
        <f t="shared" si="275"/>
        <v>490.625</v>
      </c>
      <c r="CD267" s="289">
        <f t="shared" si="276"/>
        <v>20.442708333333332</v>
      </c>
      <c r="CE267" s="761">
        <f t="shared" si="277"/>
        <v>563.36793173303442</v>
      </c>
      <c r="CF267" s="66"/>
      <c r="CG267" s="72">
        <f>CC267/(AVERAGE(BY267)*AVERAGE((D$232,D$227,D$246,D$262,D$248,D$255,D$261,D$234,D$238))*0.01)</f>
        <v>560.79504052324103</v>
      </c>
      <c r="CH267" s="433">
        <f t="shared" si="201"/>
        <v>0.6576742627345844</v>
      </c>
      <c r="CI267" s="293"/>
      <c r="CJ267" s="293"/>
      <c r="CK267" s="293"/>
      <c r="CL267" s="293"/>
      <c r="CM267" s="293"/>
      <c r="CN267" s="676"/>
      <c r="CP267" s="794" t="s">
        <v>69</v>
      </c>
      <c r="CQ267" s="793">
        <f>AVERAGE(AR195:AR268)</f>
        <v>1045.49254007425</v>
      </c>
      <c r="CR267" s="793">
        <f>AVERAGE(AS195:AS268)</f>
        <v>43.562189169760408</v>
      </c>
      <c r="CS267" s="793">
        <f>AVERAGE(AT195:AT268)</f>
        <v>608.64527236080471</v>
      </c>
      <c r="CT267" s="793" t="e">
        <f>AVERAGE(#REF!)</f>
        <v>#REF!</v>
      </c>
      <c r="CU267" s="793">
        <f>AVERAGE(AU195:AU268)</f>
        <v>1333.9638769120602</v>
      </c>
      <c r="CV267" s="793"/>
      <c r="CW267" s="793">
        <f>AVERAGE(AV195:AV268)</f>
        <v>476.4899906316416</v>
      </c>
      <c r="CX267" s="793" t="e">
        <f>AVERAGE(#REF!)</f>
        <v>#REF!</v>
      </c>
      <c r="CY267" s="793" t="e">
        <f>AVERAGE(#REF!)</f>
        <v>#REF!</v>
      </c>
      <c r="CZ267" s="794"/>
      <c r="DA267" s="793">
        <f>AVERAGE(CC195:CC268)</f>
        <v>570.35410980664176</v>
      </c>
      <c r="DB267" s="793">
        <f>AVERAGE(CD195:CD268)</f>
        <v>23.764754575276736</v>
      </c>
      <c r="DC267" s="793">
        <f>AVERAGE(CE195:CE268)</f>
        <v>637.98875969749065</v>
      </c>
      <c r="DD267" s="793" t="e">
        <f>AVERAGE(#REF!)</f>
        <v>#REF!</v>
      </c>
      <c r="DE267" s="793">
        <f>AVERAGE(CF195:CF268)</f>
        <v>1487.9702757133452</v>
      </c>
      <c r="DF267" s="793">
        <f>AVERAGE(CG195:CG268)</f>
        <v>504.35877618305364</v>
      </c>
      <c r="DG267" s="793" t="e">
        <f>AVERAGE(#REF!)</f>
        <v>#REF!</v>
      </c>
      <c r="DH267" s="793" t="e">
        <f>AVERAGE(#REF!)</f>
        <v>#REF!</v>
      </c>
    </row>
    <row r="268" spans="1:112" s="833" customFormat="1">
      <c r="A268" s="141">
        <f t="shared" si="194"/>
        <v>41423</v>
      </c>
      <c r="B268" s="307">
        <v>0.33333333333333331</v>
      </c>
      <c r="C268" s="304">
        <f t="shared" si="244"/>
        <v>24</v>
      </c>
      <c r="D268" s="65"/>
      <c r="E268" s="66"/>
      <c r="F268" s="66"/>
      <c r="G268" s="364">
        <v>5.66</v>
      </c>
      <c r="H268" s="66"/>
      <c r="I268" s="66"/>
      <c r="J268" s="86"/>
      <c r="K268" s="86"/>
      <c r="L268" s="63"/>
      <c r="M268" s="86"/>
      <c r="N268" s="66"/>
      <c r="O268" s="265"/>
      <c r="P268" s="65"/>
      <c r="Q268" s="66"/>
      <c r="R268" s="67"/>
      <c r="S268" s="86"/>
      <c r="T268" s="86"/>
      <c r="U268" s="232"/>
      <c r="V268" s="65"/>
      <c r="W268" s="66"/>
      <c r="X268" s="66"/>
      <c r="Y268" s="66"/>
      <c r="Z268" s="66"/>
      <c r="AA268" s="86"/>
      <c r="AB268" s="86"/>
      <c r="AC268" s="63"/>
      <c r="AD268" s="87"/>
      <c r="AE268" s="87"/>
      <c r="AF268" s="87"/>
      <c r="AG268" s="66"/>
      <c r="AH268" s="66"/>
      <c r="AI268" s="147"/>
      <c r="AJ268" s="147"/>
      <c r="AK268" s="852">
        <v>7.18</v>
      </c>
      <c r="AL268" s="852">
        <v>34.299999999999997</v>
      </c>
      <c r="AM268" s="76">
        <v>5365</v>
      </c>
      <c r="AN268" s="853">
        <f t="shared" si="267"/>
        <v>60.480000000000004</v>
      </c>
      <c r="AO268" s="854">
        <f t="shared" si="268"/>
        <v>23.363095238095237</v>
      </c>
      <c r="AP268" s="76">
        <v>3058</v>
      </c>
      <c r="AQ268" s="76">
        <f t="shared" si="181"/>
        <v>222182.47500000001</v>
      </c>
      <c r="AR268" s="76">
        <f t="shared" si="269"/>
        <v>905.203125</v>
      </c>
      <c r="AS268" s="230">
        <f t="shared" si="270"/>
        <v>37.716796875</v>
      </c>
      <c r="AT268" s="76">
        <f t="shared" si="271"/>
        <v>567.14048484731813</v>
      </c>
      <c r="AU268" s="76"/>
      <c r="AV268" s="151">
        <f t="shared" si="272"/>
        <v>444.79725684358243</v>
      </c>
      <c r="AW268" s="855">
        <f t="shared" si="221"/>
        <v>0.640625</v>
      </c>
      <c r="AX268" s="147">
        <v>68</v>
      </c>
      <c r="AY268" s="147">
        <v>30.1</v>
      </c>
      <c r="AZ268" s="66">
        <v>0</v>
      </c>
      <c r="BA268" s="66">
        <v>89</v>
      </c>
      <c r="BB268" s="66">
        <v>150</v>
      </c>
      <c r="BC268" s="63"/>
      <c r="BD268" s="64"/>
      <c r="BE268" s="64"/>
      <c r="BF268" s="232"/>
      <c r="BG268" s="65"/>
      <c r="BH268" s="66"/>
      <c r="BI268" s="66"/>
      <c r="BJ268" s="66"/>
      <c r="BK268" s="66"/>
      <c r="BL268" s="86"/>
      <c r="BM268" s="86"/>
      <c r="BN268" s="63"/>
      <c r="BO268" s="87"/>
      <c r="BP268" s="87"/>
      <c r="BQ268" s="87"/>
      <c r="BR268" s="66"/>
      <c r="BS268" s="64"/>
      <c r="BT268" s="66"/>
      <c r="BU268" s="67"/>
      <c r="BV268" s="305">
        <v>7.34</v>
      </c>
      <c r="BW268" s="364">
        <v>48.6</v>
      </c>
      <c r="BX268" s="66">
        <v>3064</v>
      </c>
      <c r="BY268" s="159">
        <f t="shared" si="273"/>
        <v>32</v>
      </c>
      <c r="BZ268" s="159">
        <f t="shared" si="274"/>
        <v>23.3125</v>
      </c>
      <c r="CA268" s="72">
        <v>1689</v>
      </c>
      <c r="CB268" s="76">
        <f t="shared" si="249"/>
        <v>122917.753125</v>
      </c>
      <c r="CC268" s="208">
        <f t="shared" si="275"/>
        <v>490.625</v>
      </c>
      <c r="CD268" s="208">
        <f t="shared" si="276"/>
        <v>20.442708333333332</v>
      </c>
      <c r="CE268" s="761">
        <f t="shared" si="277"/>
        <v>641.07385335138395</v>
      </c>
      <c r="CF268" s="66"/>
      <c r="CG268" s="72">
        <f>CC268/(AVERAGE(BY268)*AVERAGE((D$232,D$227,D$246,D$262,D$248,D$255,D$261,D$234,D$238))*0.01)</f>
        <v>455.64597042513327</v>
      </c>
      <c r="CH268" s="433">
        <f t="shared" si="201"/>
        <v>0.6576742627345844</v>
      </c>
      <c r="CI268" s="66">
        <v>68.5</v>
      </c>
      <c r="CJ268" s="66">
        <v>31.5</v>
      </c>
      <c r="CK268" s="66">
        <v>0</v>
      </c>
      <c r="CL268" s="66">
        <v>65</v>
      </c>
      <c r="CM268" s="66">
        <v>235</v>
      </c>
      <c r="CN268" s="116"/>
      <c r="CP268" s="833" t="s">
        <v>66</v>
      </c>
      <c r="CQ268" s="834">
        <f>MAX(AR195:AR268)</f>
        <v>1327.6312499999767</v>
      </c>
      <c r="CR268" s="834">
        <f>MAX(AS195:AS268)</f>
        <v>55.317968749999032</v>
      </c>
      <c r="CS268" s="834">
        <f>MAX(AT195:AT268)</f>
        <v>763.41873260021077</v>
      </c>
      <c r="CT268" s="834" t="e">
        <f>MAX(#REF!)</f>
        <v>#REF!</v>
      </c>
      <c r="CU268" s="834">
        <f>MAX(AU195:AU268)</f>
        <v>1480.9640266648701</v>
      </c>
      <c r="CV268" s="834"/>
      <c r="CW268" s="834">
        <f>MAX(AV195:AV268)</f>
        <v>590.53611645612989</v>
      </c>
      <c r="CX268" s="834" t="e">
        <f>MAX(#REF!)</f>
        <v>#REF!</v>
      </c>
      <c r="CY268" s="834" t="e">
        <f>MAX(#REF!)</f>
        <v>#REF!</v>
      </c>
      <c r="CZ268" s="834"/>
      <c r="DA268" s="834">
        <f>MAX(CC195:CC268)</f>
        <v>735.9375</v>
      </c>
      <c r="DB268" s="834">
        <f>MAX(CD195:CD268)</f>
        <v>30.6640625</v>
      </c>
      <c r="DC268" s="834">
        <f>MAX(CE195:CE268)</f>
        <v>833.40341220800792</v>
      </c>
      <c r="DD268" s="834" t="e">
        <f>MAX(#REF!)</f>
        <v>#REF!</v>
      </c>
      <c r="DE268" s="834">
        <f>MAX(CF195:CF268)</f>
        <v>2110.7734290790659</v>
      </c>
      <c r="DF268" s="834">
        <f>MAX(CG195:CG268)</f>
        <v>839.20431074656165</v>
      </c>
      <c r="DG268" s="834" t="e">
        <f>MAX(#REF!)</f>
        <v>#REF!</v>
      </c>
      <c r="DH268" s="834" t="e">
        <f>MAX(#REF!)</f>
        <v>#REF!</v>
      </c>
    </row>
    <row r="269" spans="1:112" s="677" customFormat="1">
      <c r="A269" s="141">
        <f t="shared" si="194"/>
        <v>41424</v>
      </c>
      <c r="B269" s="663">
        <v>0.33333333333333331</v>
      </c>
      <c r="C269" s="304">
        <f t="shared" si="244"/>
        <v>24</v>
      </c>
      <c r="D269" s="665"/>
      <c r="E269" s="293"/>
      <c r="F269" s="293"/>
      <c r="G269" s="293"/>
      <c r="H269" s="293"/>
      <c r="I269" s="293"/>
      <c r="J269" s="666"/>
      <c r="K269" s="666"/>
      <c r="L269" s="299"/>
      <c r="M269" s="666"/>
      <c r="N269" s="293"/>
      <c r="O269" s="831"/>
      <c r="P269" s="665"/>
      <c r="Q269" s="293"/>
      <c r="R269" s="675"/>
      <c r="S269" s="666"/>
      <c r="T269" s="666"/>
      <c r="U269" s="666"/>
      <c r="V269" s="665"/>
      <c r="W269" s="293"/>
      <c r="X269" s="293"/>
      <c r="Y269" s="293"/>
      <c r="Z269" s="293"/>
      <c r="AA269" s="666"/>
      <c r="AB269" s="666"/>
      <c r="AC269" s="299"/>
      <c r="AD269" s="298"/>
      <c r="AE269" s="298"/>
      <c r="AF269" s="298"/>
      <c r="AG269" s="293"/>
      <c r="AH269" s="293"/>
      <c r="AI269" s="296"/>
      <c r="AJ269" s="296"/>
      <c r="AK269" s="296"/>
      <c r="AL269" s="296">
        <v>35.4</v>
      </c>
      <c r="AM269" s="490">
        <v>5392</v>
      </c>
      <c r="AN269" s="853">
        <f t="shared" ref="AN269:AN273" si="278">(AM269-AM268)*AQ$1/((C268)/24)</f>
        <v>58.320000000000007</v>
      </c>
      <c r="AO269" s="854">
        <f t="shared" ref="AO269:AO273" si="279">AQ$3/AN269</f>
        <v>24.228395061728392</v>
      </c>
      <c r="AP269" s="490">
        <v>3073</v>
      </c>
      <c r="AQ269" s="490">
        <f t="shared" si="181"/>
        <v>223087.67812500001</v>
      </c>
      <c r="AR269" s="76">
        <f t="shared" ref="AR269:AR275" si="280">(AQ269-AQ268)/(C269/24)</f>
        <v>905.203125</v>
      </c>
      <c r="AS269" s="230">
        <f t="shared" ref="AS269:AS280" si="281">(AQ269-AQ268)/C269</f>
        <v>37.716796875</v>
      </c>
      <c r="AT269" s="76">
        <f t="shared" si="271"/>
        <v>588.14568798981134</v>
      </c>
      <c r="AU269" s="490"/>
      <c r="AV269" s="151">
        <f t="shared" si="272"/>
        <v>461.27122931927062</v>
      </c>
      <c r="AW269" s="855">
        <f t="shared" si="221"/>
        <v>0.640625</v>
      </c>
      <c r="AX269" s="296"/>
      <c r="AY269" s="296"/>
      <c r="AZ269" s="293"/>
      <c r="BA269" s="293"/>
      <c r="BB269" s="293"/>
      <c r="BC269" s="299"/>
      <c r="BD269" s="671"/>
      <c r="BE269" s="671"/>
      <c r="BF269" s="666"/>
      <c r="BG269" s="665"/>
      <c r="BH269" s="293"/>
      <c r="BI269" s="293"/>
      <c r="BJ269" s="293"/>
      <c r="BK269" s="293"/>
      <c r="BL269" s="666"/>
      <c r="BM269" s="666"/>
      <c r="BN269" s="299"/>
      <c r="BO269" s="298"/>
      <c r="BP269" s="298"/>
      <c r="BQ269" s="298"/>
      <c r="BR269" s="293"/>
      <c r="BS269" s="671"/>
      <c r="BT269" s="293"/>
      <c r="BU269" s="675"/>
      <c r="BV269" s="665"/>
      <c r="BW269" s="293">
        <v>51.1</v>
      </c>
      <c r="BX269" s="293">
        <v>3080</v>
      </c>
      <c r="BY269" s="159">
        <f t="shared" ref="BY269:BY273" si="282">(BX269-BX268)*CB$1/((C269)/24)</f>
        <v>32</v>
      </c>
      <c r="BZ269" s="159">
        <f t="shared" ref="BZ269:BZ273" si="283">CB$3/BY269</f>
        <v>23.3125</v>
      </c>
      <c r="CA269" s="301">
        <v>1698</v>
      </c>
      <c r="CB269" s="301">
        <f t="shared" si="249"/>
        <v>123469.70625</v>
      </c>
      <c r="CC269" s="208">
        <f t="shared" ref="CC269:CC273" si="284">(CB269-CB268)/((C269/24))</f>
        <v>551.953125</v>
      </c>
      <c r="CD269" s="208">
        <f t="shared" ref="CD269:CD273" si="285">(CB269-CB268)/(C269)</f>
        <v>22.998046875</v>
      </c>
      <c r="CE269" s="761">
        <f t="shared" si="277"/>
        <v>653.59482704965319</v>
      </c>
      <c r="CF269" s="293"/>
      <c r="CG269" s="72">
        <f>CC269/(AVERAGE(BY269)*AVERAGE((D$232,D$227,D$246,D$262,D$248,D$255,D$261,D$234,D$238))*0.01)</f>
        <v>512.60171672827494</v>
      </c>
      <c r="CH269" s="433">
        <f t="shared" si="201"/>
        <v>0.73988354557640745</v>
      </c>
      <c r="CI269" s="293"/>
      <c r="CJ269" s="293"/>
      <c r="CK269" s="293"/>
      <c r="CL269" s="293"/>
      <c r="CM269" s="293"/>
      <c r="CN269" s="832"/>
    </row>
    <row r="270" spans="1:112" s="677" customFormat="1" ht="15">
      <c r="A270" s="141">
        <f t="shared" si="194"/>
        <v>41425</v>
      </c>
      <c r="B270" s="307">
        <v>0.33333333333333298</v>
      </c>
      <c r="C270" s="304">
        <f t="shared" si="244"/>
        <v>23.999999999999993</v>
      </c>
      <c r="D270" s="665"/>
      <c r="E270" s="293"/>
      <c r="F270" s="293"/>
      <c r="G270" s="293"/>
      <c r="H270" s="293"/>
      <c r="I270" s="293"/>
      <c r="J270" s="666"/>
      <c r="K270" s="666"/>
      <c r="L270" s="299"/>
      <c r="M270" s="666">
        <v>45</v>
      </c>
      <c r="N270" s="293">
        <v>85</v>
      </c>
      <c r="O270" s="667"/>
      <c r="P270" s="773">
        <v>560</v>
      </c>
      <c r="Q270" s="210">
        <f>P270/((N270-M270)*N$4)</f>
        <v>2.7866242038216558</v>
      </c>
      <c r="R270" s="225">
        <f>10*Q270/(AVERAGE(D$261,D$262))</f>
        <v>9.2578877203377274</v>
      </c>
      <c r="S270" s="666"/>
      <c r="T270" s="666"/>
      <c r="U270" s="666"/>
      <c r="V270" s="665"/>
      <c r="W270" s="293"/>
      <c r="X270" s="293"/>
      <c r="Y270" s="293"/>
      <c r="Z270" s="293"/>
      <c r="AA270" s="666"/>
      <c r="AB270" s="666"/>
      <c r="AC270" s="299"/>
      <c r="AD270" s="298"/>
      <c r="AE270" s="298"/>
      <c r="AF270" s="298"/>
      <c r="AG270" s="293"/>
      <c r="AH270" s="293"/>
      <c r="AI270" s="296"/>
      <c r="AJ270" s="296"/>
      <c r="AK270" s="296"/>
      <c r="AL270" s="296">
        <v>35.6</v>
      </c>
      <c r="AM270" s="490">
        <v>5421</v>
      </c>
      <c r="AN270" s="853">
        <f t="shared" si="278"/>
        <v>62.64</v>
      </c>
      <c r="AO270" s="854">
        <f t="shared" si="279"/>
        <v>22.557471264367816</v>
      </c>
      <c r="AP270" s="490">
        <v>3089</v>
      </c>
      <c r="AQ270" s="490">
        <f t="shared" si="181"/>
        <v>224053.22812500002</v>
      </c>
      <c r="AR270" s="76">
        <f t="shared" si="280"/>
        <v>965.5500000000178</v>
      </c>
      <c r="AS270" s="230">
        <f t="shared" si="281"/>
        <v>40.231250000000742</v>
      </c>
      <c r="AT270" s="76">
        <f t="shared" si="271"/>
        <v>584.08951083127181</v>
      </c>
      <c r="AU270" s="490"/>
      <c r="AV270" s="151">
        <f t="shared" si="272"/>
        <v>458.09004842742212</v>
      </c>
      <c r="AW270" s="855">
        <f t="shared" si="221"/>
        <v>0.68333333333334589</v>
      </c>
      <c r="AX270" s="296"/>
      <c r="AY270" s="296"/>
      <c r="AZ270" s="293"/>
      <c r="BA270" s="293"/>
      <c r="BB270" s="293"/>
      <c r="BC270" s="299"/>
      <c r="BD270" s="671"/>
      <c r="BE270" s="671"/>
      <c r="BF270" s="666"/>
      <c r="BG270" s="665"/>
      <c r="BH270" s="293"/>
      <c r="BI270" s="293"/>
      <c r="BJ270" s="293"/>
      <c r="BK270" s="293"/>
      <c r="BL270" s="666"/>
      <c r="BM270" s="666"/>
      <c r="BN270" s="299"/>
      <c r="BO270" s="298"/>
      <c r="BP270" s="298"/>
      <c r="BQ270" s="298"/>
      <c r="BR270" s="293"/>
      <c r="BS270" s="671"/>
      <c r="BT270" s="293"/>
      <c r="BU270" s="675"/>
      <c r="BV270" s="665"/>
      <c r="BW270" s="293">
        <v>51</v>
      </c>
      <c r="BX270" s="293">
        <v>3096</v>
      </c>
      <c r="BY270" s="159">
        <f t="shared" si="282"/>
        <v>32.000000000000014</v>
      </c>
      <c r="BZ270" s="159">
        <f t="shared" si="283"/>
        <v>23.312499999999989</v>
      </c>
      <c r="CA270" s="301">
        <v>1707</v>
      </c>
      <c r="CB270" s="490">
        <f t="shared" si="249"/>
        <v>124021.659375</v>
      </c>
      <c r="CC270" s="208">
        <f t="shared" si="284"/>
        <v>551.95312500000023</v>
      </c>
      <c r="CD270" s="208">
        <f t="shared" si="285"/>
        <v>22.998046875000007</v>
      </c>
      <c r="CE270" s="761">
        <f t="shared" si="277"/>
        <v>653.5948270496533</v>
      </c>
      <c r="CF270" s="293"/>
      <c r="CG270" s="72">
        <f>CC270/(AVERAGE(BY270)*AVERAGE((D$232,D$227,D$246,D$262,D$248,D$255,D$261,D$234,D$238))*0.01)</f>
        <v>512.60171672827494</v>
      </c>
      <c r="CH270" s="433">
        <f t="shared" si="201"/>
        <v>0.73988354557640779</v>
      </c>
      <c r="CI270" s="293"/>
      <c r="CJ270" s="293"/>
      <c r="CK270" s="293"/>
      <c r="CL270" s="293"/>
      <c r="CM270" s="293"/>
      <c r="CN270" s="676"/>
    </row>
    <row r="271" spans="1:112" s="677" customFormat="1">
      <c r="A271" s="141">
        <f t="shared" si="194"/>
        <v>41426</v>
      </c>
      <c r="B271" s="663">
        <v>0.33333333333333298</v>
      </c>
      <c r="C271" s="304">
        <f t="shared" si="244"/>
        <v>24</v>
      </c>
      <c r="D271" s="665"/>
      <c r="E271" s="293"/>
      <c r="F271" s="293"/>
      <c r="G271" s="293"/>
      <c r="H271" s="293"/>
      <c r="I271" s="293"/>
      <c r="J271" s="666"/>
      <c r="K271" s="666"/>
      <c r="L271" s="299"/>
      <c r="M271" s="666"/>
      <c r="N271" s="293"/>
      <c r="O271" s="667"/>
      <c r="P271" s="665"/>
      <c r="Q271" s="293"/>
      <c r="R271" s="675"/>
      <c r="S271" s="666"/>
      <c r="T271" s="666"/>
      <c r="U271" s="777"/>
      <c r="V271" s="665"/>
      <c r="W271" s="293"/>
      <c r="X271" s="293"/>
      <c r="Y271" s="293"/>
      <c r="Z271" s="293"/>
      <c r="AA271" s="666"/>
      <c r="AB271" s="666"/>
      <c r="AC271" s="299"/>
      <c r="AD271" s="298"/>
      <c r="AE271" s="298"/>
      <c r="AF271" s="298"/>
      <c r="AG271" s="293"/>
      <c r="AH271" s="293"/>
      <c r="AI271" s="296"/>
      <c r="AJ271" s="296"/>
      <c r="AK271" s="296"/>
      <c r="AL271" s="296">
        <v>35.5</v>
      </c>
      <c r="AM271" s="490">
        <v>5449</v>
      </c>
      <c r="AN271" s="853">
        <f t="shared" si="278"/>
        <v>60.480000000000025</v>
      </c>
      <c r="AO271" s="854">
        <f t="shared" si="279"/>
        <v>23.363095238095227</v>
      </c>
      <c r="AP271" s="490">
        <v>3102</v>
      </c>
      <c r="AQ271" s="490">
        <f t="shared" si="181"/>
        <v>224837.73750000002</v>
      </c>
      <c r="AR271" s="76">
        <f t="shared" si="280"/>
        <v>784.50937499999418</v>
      </c>
      <c r="AS271" s="230">
        <f t="shared" si="281"/>
        <v>32.68789062499976</v>
      </c>
      <c r="AT271" s="76">
        <f t="shared" si="271"/>
        <v>491.52175353433859</v>
      </c>
      <c r="AU271" s="490"/>
      <c r="AV271" s="151">
        <f t="shared" si="272"/>
        <v>385.49095593110184</v>
      </c>
      <c r="AW271" s="855">
        <f t="shared" si="221"/>
        <v>0.5552083333333292</v>
      </c>
      <c r="AX271" s="296"/>
      <c r="AY271" s="296"/>
      <c r="AZ271" s="293"/>
      <c r="BA271" s="293"/>
      <c r="BB271" s="293"/>
      <c r="BC271" s="299"/>
      <c r="BD271" s="671"/>
      <c r="BE271" s="671"/>
      <c r="BF271" s="777"/>
      <c r="BG271" s="665"/>
      <c r="BH271" s="293"/>
      <c r="BI271" s="293"/>
      <c r="BJ271" s="293"/>
      <c r="BK271" s="293"/>
      <c r="BL271" s="666"/>
      <c r="BM271" s="666"/>
      <c r="BN271" s="299"/>
      <c r="BO271" s="298"/>
      <c r="BP271" s="298"/>
      <c r="BQ271" s="298"/>
      <c r="BR271" s="293"/>
      <c r="BS271" s="671"/>
      <c r="BT271" s="293"/>
      <c r="BU271" s="675"/>
      <c r="BV271" s="665"/>
      <c r="BW271" s="293">
        <v>50.8</v>
      </c>
      <c r="BX271" s="293">
        <v>3113</v>
      </c>
      <c r="BY271" s="159">
        <f t="shared" si="282"/>
        <v>34</v>
      </c>
      <c r="BZ271" s="159">
        <f t="shared" si="283"/>
        <v>21.941176470588236</v>
      </c>
      <c r="CA271" s="301">
        <v>1715</v>
      </c>
      <c r="CB271" s="490">
        <f t="shared" si="249"/>
        <v>124512.284375</v>
      </c>
      <c r="CC271" s="208">
        <f t="shared" si="284"/>
        <v>490.625</v>
      </c>
      <c r="CD271" s="208">
        <f t="shared" si="285"/>
        <v>20.442708333333332</v>
      </c>
      <c r="CE271" s="761">
        <f t="shared" si="277"/>
        <v>563.36793173303431</v>
      </c>
      <c r="CF271" s="293"/>
      <c r="CG271" s="72">
        <f>CC271/(AVERAGE(BY271)*AVERAGE((D$232,D$227,D$246,D$262,D$248,D$255,D$261,D$234,D$238))*0.01)</f>
        <v>428.84326628247834</v>
      </c>
      <c r="CH271" s="433">
        <f t="shared" si="201"/>
        <v>0.6576742627345844</v>
      </c>
      <c r="CI271" s="293"/>
      <c r="CJ271" s="293"/>
      <c r="CK271" s="293"/>
      <c r="CL271" s="293"/>
      <c r="CM271" s="293"/>
      <c r="CN271" s="676"/>
    </row>
    <row r="272" spans="1:112" s="677" customFormat="1" ht="15">
      <c r="A272" s="141">
        <f t="shared" si="194"/>
        <v>41427</v>
      </c>
      <c r="B272" s="307">
        <v>0.33333333333333298</v>
      </c>
      <c r="C272" s="304">
        <f t="shared" si="244"/>
        <v>24</v>
      </c>
      <c r="D272" s="665"/>
      <c r="E272" s="293"/>
      <c r="F272" s="293"/>
      <c r="G272" s="293"/>
      <c r="H272" s="293"/>
      <c r="I272" s="293"/>
      <c r="J272" s="666"/>
      <c r="K272" s="666"/>
      <c r="L272" s="299"/>
      <c r="M272" s="666">
        <v>50</v>
      </c>
      <c r="N272" s="293">
        <v>85</v>
      </c>
      <c r="O272" s="667"/>
      <c r="P272" s="773">
        <v>420</v>
      </c>
      <c r="Q272" s="210">
        <f>P272/((N272-M272)*N$4)</f>
        <v>2.3885350318471339</v>
      </c>
      <c r="R272" s="225">
        <f>10*Q272/(AVERAGE(D$261,D$262))</f>
        <v>7.9353323317180537</v>
      </c>
      <c r="S272" s="666"/>
      <c r="T272" s="666"/>
      <c r="U272" s="666"/>
      <c r="V272" s="665"/>
      <c r="W272" s="293"/>
      <c r="X272" s="293"/>
      <c r="Y272" s="293"/>
      <c r="Z272" s="293"/>
      <c r="AA272" s="666"/>
      <c r="AB272" s="666"/>
      <c r="AC272" s="299"/>
      <c r="AD272" s="298"/>
      <c r="AE272" s="298"/>
      <c r="AF272" s="298"/>
      <c r="AG272" s="293"/>
      <c r="AH272" s="293"/>
      <c r="AI272" s="296"/>
      <c r="AJ272" s="296"/>
      <c r="AK272" s="296"/>
      <c r="AL272" s="296">
        <v>35.700000000000003</v>
      </c>
      <c r="AM272" s="490">
        <v>5477</v>
      </c>
      <c r="AN272" s="853">
        <f t="shared" si="278"/>
        <v>60.480000000000004</v>
      </c>
      <c r="AO272" s="854">
        <f t="shared" si="279"/>
        <v>23.363095238095237</v>
      </c>
      <c r="AP272" s="490">
        <v>3113</v>
      </c>
      <c r="AQ272" s="490">
        <f t="shared" si="181"/>
        <v>225501.55312500001</v>
      </c>
      <c r="AR272" s="76">
        <f t="shared" si="280"/>
        <v>663.81562499998836</v>
      </c>
      <c r="AS272" s="230">
        <f t="shared" si="281"/>
        <v>27.658984374999516</v>
      </c>
      <c r="AT272" s="76">
        <f t="shared" si="271"/>
        <v>415.90302222135932</v>
      </c>
      <c r="AU272" s="490"/>
      <c r="AV272" s="151">
        <f t="shared" si="272"/>
        <v>326.18465501862141</v>
      </c>
      <c r="AW272" s="855">
        <f t="shared" si="221"/>
        <v>0.46979166666665845</v>
      </c>
      <c r="AX272" s="296"/>
      <c r="AY272" s="296"/>
      <c r="AZ272" s="293"/>
      <c r="BA272" s="293"/>
      <c r="BB272" s="293"/>
      <c r="BC272" s="299"/>
      <c r="BD272" s="671"/>
      <c r="BE272" s="671"/>
      <c r="BF272" s="666"/>
      <c r="BG272" s="665"/>
      <c r="BH272" s="293"/>
      <c r="BI272" s="293"/>
      <c r="BJ272" s="293"/>
      <c r="BK272" s="293"/>
      <c r="BL272" s="666"/>
      <c r="BM272" s="666"/>
      <c r="BN272" s="299"/>
      <c r="BO272" s="298"/>
      <c r="BP272" s="298"/>
      <c r="BQ272" s="298"/>
      <c r="BR272" s="293"/>
      <c r="BS272" s="671"/>
      <c r="BT272" s="293"/>
      <c r="BU272" s="675"/>
      <c r="BV272" s="665"/>
      <c r="BW272" s="293">
        <v>51.1</v>
      </c>
      <c r="BX272" s="293">
        <v>3126</v>
      </c>
      <c r="BY272" s="159">
        <f t="shared" si="282"/>
        <v>26</v>
      </c>
      <c r="BZ272" s="159">
        <f t="shared" si="283"/>
        <v>28.692307692307693</v>
      </c>
      <c r="CA272" s="301">
        <v>1721</v>
      </c>
      <c r="CB272" s="490">
        <f t="shared" si="249"/>
        <v>124880.253125</v>
      </c>
      <c r="CC272" s="208">
        <f t="shared" si="284"/>
        <v>367.96875</v>
      </c>
      <c r="CD272" s="208">
        <f t="shared" si="285"/>
        <v>15.33203125</v>
      </c>
      <c r="CE272" s="761">
        <f t="shared" si="277"/>
        <v>464.7785436797534</v>
      </c>
      <c r="CF272" s="293"/>
      <c r="CG272" s="72">
        <f>CC272/(AVERAGE(BY272)*AVERAGE((D$232,D$227,D$246,D$262,D$248,D$255,D$261,D$234,D$238))*0.01)</f>
        <v>420.59628039243074</v>
      </c>
      <c r="CH272" s="433">
        <f t="shared" si="201"/>
        <v>0.49325569705093836</v>
      </c>
      <c r="CI272" s="293"/>
      <c r="CJ272" s="293"/>
      <c r="CK272" s="293"/>
      <c r="CL272" s="293"/>
      <c r="CM272" s="293"/>
      <c r="CN272" s="676"/>
    </row>
    <row r="273" spans="1:112" s="677" customFormat="1" ht="15">
      <c r="A273" s="141">
        <f t="shared" si="194"/>
        <v>41428</v>
      </c>
      <c r="B273" s="663">
        <v>0.33333333333333298</v>
      </c>
      <c r="C273" s="304">
        <f t="shared" si="244"/>
        <v>24</v>
      </c>
      <c r="D273" s="665"/>
      <c r="E273" s="293"/>
      <c r="F273" s="293"/>
      <c r="G273" s="293"/>
      <c r="H273" s="293"/>
      <c r="I273" s="293"/>
      <c r="J273" s="666"/>
      <c r="K273" s="666"/>
      <c r="L273" s="299"/>
      <c r="M273" s="666"/>
      <c r="N273" s="293"/>
      <c r="O273" s="667"/>
      <c r="P273" s="773"/>
      <c r="Q273" s="774"/>
      <c r="R273" s="775"/>
      <c r="S273" s="666"/>
      <c r="T273" s="666"/>
      <c r="U273" s="777"/>
      <c r="V273" s="665"/>
      <c r="W273" s="293"/>
      <c r="X273" s="293"/>
      <c r="Y273" s="293"/>
      <c r="Z273" s="293"/>
      <c r="AA273" s="666"/>
      <c r="AB273" s="666"/>
      <c r="AC273" s="299"/>
      <c r="AD273" s="298"/>
      <c r="AE273" s="298"/>
      <c r="AF273" s="298"/>
      <c r="AG273" s="293"/>
      <c r="AH273" s="293"/>
      <c r="AI273" s="296"/>
      <c r="AJ273" s="296"/>
      <c r="AK273" s="296"/>
      <c r="AL273" s="296">
        <v>35.6</v>
      </c>
      <c r="AM273" s="490">
        <v>5506</v>
      </c>
      <c r="AN273" s="853">
        <f t="shared" si="278"/>
        <v>62.64</v>
      </c>
      <c r="AO273" s="854">
        <f t="shared" si="279"/>
        <v>22.557471264367816</v>
      </c>
      <c r="AP273" s="490">
        <v>3125</v>
      </c>
      <c r="AQ273" s="490">
        <f t="shared" si="181"/>
        <v>226225.71562500001</v>
      </c>
      <c r="AR273" s="76">
        <f t="shared" si="280"/>
        <v>724.16250000000582</v>
      </c>
      <c r="AS273" s="230">
        <f t="shared" si="281"/>
        <v>30.173437500000244</v>
      </c>
      <c r="AT273" s="76">
        <f t="shared" si="271"/>
        <v>438.06713312344925</v>
      </c>
      <c r="AU273" s="490"/>
      <c r="AV273" s="151">
        <f t="shared" si="272"/>
        <v>343.56753632056302</v>
      </c>
      <c r="AW273" s="855">
        <f t="shared" si="221"/>
        <v>0.51250000000000417</v>
      </c>
      <c r="AX273" s="296"/>
      <c r="AY273" s="296"/>
      <c r="AZ273" s="293"/>
      <c r="BA273" s="293"/>
      <c r="BB273" s="293"/>
      <c r="BC273" s="299"/>
      <c r="BD273" s="671"/>
      <c r="BE273" s="671"/>
      <c r="BF273" s="777"/>
      <c r="BG273" s="665"/>
      <c r="BH273" s="293"/>
      <c r="BI273" s="293"/>
      <c r="BJ273" s="293"/>
      <c r="BK273" s="293"/>
      <c r="BL273" s="666"/>
      <c r="BM273" s="666"/>
      <c r="BN273" s="299"/>
      <c r="BO273" s="298"/>
      <c r="BP273" s="298"/>
      <c r="BQ273" s="298"/>
      <c r="BR273" s="293"/>
      <c r="BS273" s="671"/>
      <c r="BT273" s="293"/>
      <c r="BU273" s="675"/>
      <c r="BV273" s="665"/>
      <c r="BW273" s="293">
        <v>51.1</v>
      </c>
      <c r="BX273" s="293">
        <v>3145</v>
      </c>
      <c r="BY273" s="159">
        <f t="shared" si="282"/>
        <v>38</v>
      </c>
      <c r="BZ273" s="159">
        <f t="shared" si="283"/>
        <v>19.631578947368421</v>
      </c>
      <c r="CA273" s="301">
        <v>1728</v>
      </c>
      <c r="CB273" s="490">
        <f t="shared" si="249"/>
        <v>125309.55</v>
      </c>
      <c r="CC273" s="208">
        <f t="shared" si="284"/>
        <v>429.296875</v>
      </c>
      <c r="CD273" s="208">
        <f t="shared" si="285"/>
        <v>17.887369791666668</v>
      </c>
      <c r="CE273" s="761">
        <f t="shared" si="277"/>
        <v>508.35153214973025</v>
      </c>
      <c r="CF273" s="293"/>
      <c r="CG273" s="72">
        <f>CC273/(AVERAGE(BY273)*AVERAGE((D$232,D$227,D$246,D$262,D$248,D$255,D$261,D$234,D$238))*0.01)</f>
        <v>335.73913610272973</v>
      </c>
      <c r="CH273" s="433">
        <f t="shared" si="201"/>
        <v>0.57546497989276135</v>
      </c>
      <c r="CI273" s="293"/>
      <c r="CJ273" s="293"/>
      <c r="CK273" s="293"/>
      <c r="CL273" s="293"/>
      <c r="CM273" s="293"/>
      <c r="CN273" s="676"/>
    </row>
    <row r="274" spans="1:112" s="845" customFormat="1" ht="15.75" thickBot="1">
      <c r="A274" s="835">
        <f t="shared" si="194"/>
        <v>41429</v>
      </c>
      <c r="B274" s="310">
        <v>0.33333333333333298</v>
      </c>
      <c r="C274" s="311">
        <f t="shared" si="244"/>
        <v>24</v>
      </c>
      <c r="D274" s="856">
        <v>3.21</v>
      </c>
      <c r="E274" s="857">
        <v>71.39</v>
      </c>
      <c r="F274" s="837"/>
      <c r="G274" s="837">
        <v>6.4</v>
      </c>
      <c r="H274" s="837"/>
      <c r="I274" s="837"/>
      <c r="J274" s="838"/>
      <c r="K274" s="838"/>
      <c r="L274" s="839"/>
      <c r="M274" s="838">
        <v>65</v>
      </c>
      <c r="N274" s="837">
        <v>85</v>
      </c>
      <c r="O274" s="840"/>
      <c r="P274" s="841">
        <v>3150</v>
      </c>
      <c r="Q274" s="764">
        <f>P274/((N274-M274)*N$4)</f>
        <v>31.34952229299363</v>
      </c>
      <c r="R274" s="765">
        <f>10*Q274/(AVERAGE(D$261,D$262))</f>
        <v>104.15123685379945</v>
      </c>
      <c r="S274" s="838"/>
      <c r="T274" s="838"/>
      <c r="U274" s="838"/>
      <c r="V274" s="856">
        <v>2.12</v>
      </c>
      <c r="W274" s="857">
        <v>65.67</v>
      </c>
      <c r="X274" s="837"/>
      <c r="Y274" s="837"/>
      <c r="Z274" s="837"/>
      <c r="AA274" s="838"/>
      <c r="AB274" s="838"/>
      <c r="AC274" s="839"/>
      <c r="AD274" s="752">
        <f>D262*(100-E262)/(100-W274)</f>
        <v>2.1584619866006411</v>
      </c>
      <c r="AE274" s="753">
        <f>D262-V274</f>
        <v>0.87999999999999989</v>
      </c>
      <c r="AF274" s="864">
        <f>100*(AVERAGE(D$234,D$232,D$227,D$246,D$262,D$248,D$255,D$261,D$234,D$238)-V274)/AVERAGE(D$234,D$232,D$227,D$246,D$262,D$248,D$255,D$261,D$234,D$238)</f>
        <v>37.800910069930623</v>
      </c>
      <c r="AG274" s="864">
        <f>100*(1-((100-AVERAGE(E$232,E$227,E$246,E$262,E$248,E$255,E$261,E$234,E$238))/(100-W274)))</f>
        <v>37.162994357036041</v>
      </c>
      <c r="AH274" s="753">
        <f>E262-W274</f>
        <v>9.6299999999999955</v>
      </c>
      <c r="AI274" s="847">
        <f>100*(1-((V274*W274)/(AVERAGE(D$234,D$232,D$227,D$246,D$262,D$248,D$255,D$261,D$234,D$238)*AVERAGE(E$232,E$227,E$246,E$262,E$248,E$255,E$261,E$234,E$238))))</f>
        <v>47.918966171409274</v>
      </c>
      <c r="AJ274" s="847">
        <f>100*100*((AVERAGE(E$232,E$227,E$246,E$262,E$248,E$255,E$261,E$234,E$238)-W274)/((100-W274)*AVERAGE(E$232,E$227,E$246,E$262,E$248,E$255,E$261,E$234,E$238)))</f>
        <v>47.384821542277145</v>
      </c>
      <c r="AK274" s="330">
        <v>7.15</v>
      </c>
      <c r="AL274" s="330">
        <v>35.6</v>
      </c>
      <c r="AM274" s="348">
        <v>5533</v>
      </c>
      <c r="AN274" s="846">
        <f t="shared" ref="AN274:AN280" si="286">(AM274-AM273)*AQ$1/((C273)/24)</f>
        <v>58.320000000000007</v>
      </c>
      <c r="AO274" s="847">
        <f t="shared" ref="AO274:AO280" si="287">AQ$3/AN274</f>
        <v>24.228395061728392</v>
      </c>
      <c r="AP274" s="348">
        <v>3137</v>
      </c>
      <c r="AQ274" s="348">
        <f t="shared" si="181"/>
        <v>226949.87812500002</v>
      </c>
      <c r="AR274" s="348">
        <f t="shared" si="280"/>
        <v>724.16250000000582</v>
      </c>
      <c r="AS274" s="512">
        <f t="shared" si="281"/>
        <v>30.173437500000244</v>
      </c>
      <c r="AT274" s="348">
        <f t="shared" si="271"/>
        <v>470.51655039185283</v>
      </c>
      <c r="AU274" s="348">
        <f>(AQ274-AQ245)/(AVERAGE(AN245:AN274)*((AVERAGE(D$246,D$262,D$261,D$255,D$234,D$238)*AVERAGE(E$246,E$262,E$261,E$255,E$234,E$238))-(V274*W274))*0.0001*(SUM(C245:C274)/24))</f>
        <v>1173.6996651473078</v>
      </c>
      <c r="AV274" s="945">
        <f t="shared" si="272"/>
        <v>369.01698345541951</v>
      </c>
      <c r="AW274" s="848">
        <f t="shared" si="221"/>
        <v>0.51250000000000417</v>
      </c>
      <c r="AX274" s="330">
        <v>67</v>
      </c>
      <c r="AY274" s="330">
        <v>30.6</v>
      </c>
      <c r="AZ274" s="837">
        <v>0</v>
      </c>
      <c r="BA274" s="837">
        <v>72</v>
      </c>
      <c r="BB274" s="837">
        <v>130</v>
      </c>
      <c r="BC274" s="919" t="s">
        <v>158</v>
      </c>
      <c r="BD274" s="842"/>
      <c r="BE274" s="842"/>
      <c r="BF274" s="838"/>
      <c r="BG274" s="856">
        <v>2.25</v>
      </c>
      <c r="BH274" s="857">
        <v>59.89</v>
      </c>
      <c r="BI274" s="837"/>
      <c r="BJ274" s="837"/>
      <c r="BK274" s="837"/>
      <c r="BL274" s="838"/>
      <c r="BM274" s="838"/>
      <c r="BN274" s="839"/>
      <c r="BO274" s="859">
        <f>D262*(100-E262)/(100-BH274)</f>
        <v>1.8474195961106958</v>
      </c>
      <c r="BP274" s="753">
        <f>D262-BG274</f>
        <v>0.75</v>
      </c>
      <c r="BQ274" s="860">
        <f>100*(AVERAGE(D$234,D$232,D$227,D$246,D$262,D$248,D$255,D$261,D$234,D$238)-BG274)/AVERAGE(D$234,D$232,D$227,D$246,D$262,D$248,D$255,D$261,D$234,D$238)</f>
        <v>33.986814932709386</v>
      </c>
      <c r="BR274" s="861">
        <f>100*(1-((100-AVERAGE(E$232,E$227,E$246,E$262,E$248,E$255,E$261,E$234,E$238))/(100-BH274)))</f>
        <v>46.218040296111873</v>
      </c>
      <c r="BS274" s="858">
        <f>E262-BH274</f>
        <v>15.409999999999997</v>
      </c>
      <c r="BT274" s="862">
        <f>100*(1-((BG274*BH274)/(AVERAGE(D$234,D$232,D$227,D$246,D$262,D$248,D$255,D$261,D$234,D$238)*AVERAGE(E$232,E$227,E$246,E$262,E$248,E$255,E$261,E$234,E$238))))</f>
        <v>49.590365269837086</v>
      </c>
      <c r="BU274" s="863">
        <f>100*100*((AVERAGE(E$232,E$227,E$246,E$262,E$248,E$255,E$261,E$234,E$238)-BH274)/((100-BH274)*AVERAGE(E$232,E$227,E$246,E$262,E$248,E$255,E$261,E$234,E$238)))</f>
        <v>58.930493340356939</v>
      </c>
      <c r="BV274" s="836">
        <v>7.29</v>
      </c>
      <c r="BW274" s="837">
        <v>51.2</v>
      </c>
      <c r="BX274" s="837">
        <v>3161</v>
      </c>
      <c r="BY274" s="462">
        <f t="shared" ref="BY274:BY275" si="288">(BX274-BX273)*CB$1/((C274)/24)</f>
        <v>32</v>
      </c>
      <c r="BZ274" s="462">
        <f t="shared" ref="BZ274:BZ275" si="289">CB$3/BY274</f>
        <v>23.3125</v>
      </c>
      <c r="CA274" s="843">
        <v>1735</v>
      </c>
      <c r="CB274" s="844">
        <f t="shared" si="249"/>
        <v>125738.846875</v>
      </c>
      <c r="CC274" s="334">
        <f t="shared" ref="CC274:CC280" si="290">(CB274-CB273)/((C274/24))</f>
        <v>429.296875</v>
      </c>
      <c r="CD274" s="334">
        <f t="shared" ref="CD274:CD280" si="291">(CB274-CB273)/(C274)</f>
        <v>17.887369791666668</v>
      </c>
      <c r="CE274" s="756">
        <f t="shared" si="277"/>
        <v>464.7785436797534</v>
      </c>
      <c r="CF274" s="313">
        <f>(CB274-CB245)/(AVERAGE(BY245:BY274)*((AVERAGE(D$255,D$232,D$248,D$261,D$262,D$227,D$246,D$238)*AVERAGE(E$255,E$232,E$248,E$261,E$262,E$227,E$246,D$238))-(BG274*BH274))*0.0001*(SUM(C245:C274)/24))</f>
        <v>1664.7668370291001</v>
      </c>
      <c r="CG274" s="313">
        <f>CC274/(AVERAGE(BY274)*AVERAGE((D$232,D$227,D$246,D$262,D$248,D$255,D$261,D$234,D$238))*0.01)</f>
        <v>398.6902241219916</v>
      </c>
      <c r="CH274" s="477">
        <f t="shared" si="201"/>
        <v>0.57546497989276135</v>
      </c>
      <c r="CI274" s="492">
        <v>67.8</v>
      </c>
      <c r="CJ274" s="492">
        <v>31.3</v>
      </c>
      <c r="CK274" s="837">
        <v>0</v>
      </c>
      <c r="CL274" s="837">
        <v>52</v>
      </c>
      <c r="CM274" s="837">
        <v>225</v>
      </c>
      <c r="CN274" s="919" t="s">
        <v>158</v>
      </c>
    </row>
    <row r="275" spans="1:112" s="533" customFormat="1">
      <c r="A275" s="514">
        <f t="shared" ref="A275:A340" si="292">A274+1</f>
        <v>41430</v>
      </c>
      <c r="B275" s="515">
        <v>0.33333333333333298</v>
      </c>
      <c r="C275" s="516">
        <f t="shared" si="244"/>
        <v>24</v>
      </c>
      <c r="D275" s="517"/>
      <c r="E275" s="518"/>
      <c r="F275" s="518"/>
      <c r="G275" s="518"/>
      <c r="H275" s="518"/>
      <c r="I275" s="518"/>
      <c r="J275" s="519"/>
      <c r="K275" s="519"/>
      <c r="L275" s="520"/>
      <c r="M275" s="519"/>
      <c r="N275" s="518"/>
      <c r="O275" s="871"/>
      <c r="P275" s="517"/>
      <c r="Q275" s="518"/>
      <c r="R275" s="522"/>
      <c r="S275" s="519"/>
      <c r="T275" s="519"/>
      <c r="U275" s="875"/>
      <c r="V275" s="517"/>
      <c r="W275" s="518"/>
      <c r="X275" s="518"/>
      <c r="Y275" s="518"/>
      <c r="Z275" s="518"/>
      <c r="AA275" s="519"/>
      <c r="AB275" s="519"/>
      <c r="AC275" s="520"/>
      <c r="AD275" s="523"/>
      <c r="AE275" s="523"/>
      <c r="AF275" s="523"/>
      <c r="AG275" s="518"/>
      <c r="AH275" s="518"/>
      <c r="AI275" s="529"/>
      <c r="AJ275" s="529"/>
      <c r="AK275" s="529"/>
      <c r="AL275" s="529">
        <v>35.6</v>
      </c>
      <c r="AM275" s="526">
        <v>5561</v>
      </c>
      <c r="AN275" s="872">
        <f t="shared" si="286"/>
        <v>60.480000000000004</v>
      </c>
      <c r="AO275" s="873">
        <f t="shared" si="287"/>
        <v>23.363095238095237</v>
      </c>
      <c r="AP275" s="526">
        <v>3151</v>
      </c>
      <c r="AQ275" s="526">
        <f t="shared" si="181"/>
        <v>227794.73437500003</v>
      </c>
      <c r="AR275" s="526">
        <f t="shared" si="280"/>
        <v>844.85625000001164</v>
      </c>
      <c r="AS275" s="874">
        <f t="shared" si="281"/>
        <v>35.202343750000487</v>
      </c>
      <c r="AT275" s="76">
        <f>AR275/(AVERAGE(AN275)*(AVERAGE(D$232,D$274,D$246,D$262,D$248,D$255,D$261,D$234,D$238))*AVERAGE(E$232,E$274,E$246,E$262,E$248,E$255,E$261,E$234,E$238)*0.0001)</f>
        <v>534.3113754087301</v>
      </c>
      <c r="AU275" s="526"/>
      <c r="AV275" s="151">
        <f>AR275/(AVERAGE(AN275)*AVERAGE(D$232,D$274,D$246,D$262,D$248,D$255,D$261,D$234,D$238)*0.01)</f>
        <v>415.00706844708151</v>
      </c>
      <c r="AW275" s="877">
        <f t="shared" si="221"/>
        <v>0.59791666666667487</v>
      </c>
      <c r="AX275" s="529"/>
      <c r="AY275" s="529"/>
      <c r="AZ275" s="518"/>
      <c r="BA275" s="518"/>
      <c r="BB275" s="518"/>
      <c r="BC275" s="520" t="s">
        <v>155</v>
      </c>
      <c r="BD275" s="524"/>
      <c r="BE275" s="524"/>
      <c r="BF275" s="875"/>
      <c r="BG275" s="517"/>
      <c r="BH275" s="518"/>
      <c r="BI275" s="518"/>
      <c r="BJ275" s="518"/>
      <c r="BK275" s="518"/>
      <c r="BL275" s="519"/>
      <c r="BM275" s="519"/>
      <c r="BN275" s="520"/>
      <c r="BO275" s="523"/>
      <c r="BP275" s="523"/>
      <c r="BQ275" s="523"/>
      <c r="BR275" s="518"/>
      <c r="BS275" s="524"/>
      <c r="BT275" s="518"/>
      <c r="BU275" s="522"/>
      <c r="BV275" s="517"/>
      <c r="BW275" s="518">
        <v>51</v>
      </c>
      <c r="BX275" s="518">
        <v>3177</v>
      </c>
      <c r="BY275" s="530">
        <f t="shared" si="288"/>
        <v>32</v>
      </c>
      <c r="BZ275" s="530">
        <f t="shared" si="289"/>
        <v>23.3125</v>
      </c>
      <c r="CA275" s="525">
        <v>1743</v>
      </c>
      <c r="CB275" s="525">
        <f t="shared" si="249"/>
        <v>126229.471875</v>
      </c>
      <c r="CC275" s="532">
        <f t="shared" si="290"/>
        <v>490.625</v>
      </c>
      <c r="CD275" s="532">
        <f t="shared" si="291"/>
        <v>20.442708333333332</v>
      </c>
      <c r="CE275" s="761">
        <f>CC275/(AVERAGE(BY274,BY275)*(AVERAGE(D$232,D$274,D$246,D$262,D$248,D$255,D$261,D$234,D$238))*AVERAGE(E$232,E$274,E$246,E$262,E$248,E$255,E$261,E$234,E$238)*0.0001)</f>
        <v>586.43931447298849</v>
      </c>
      <c r="CF275" s="518"/>
      <c r="CG275" s="72">
        <f>CC275/(AVERAGE(BY275)*AVERAGE((D$232,D$274,D$246,D$262,D$248,D$255,D$261,D$234,D$238))*0.01)</f>
        <v>455.49556292971732</v>
      </c>
      <c r="CH275" s="878">
        <f t="shared" si="201"/>
        <v>0.6576742627345844</v>
      </c>
      <c r="CI275" s="529"/>
      <c r="CJ275" s="529"/>
      <c r="CK275" s="518"/>
      <c r="CL275" s="518"/>
      <c r="CM275" s="518"/>
      <c r="CN275" s="876" t="s">
        <v>155</v>
      </c>
    </row>
    <row r="276" spans="1:112" s="94" customFormat="1" ht="15">
      <c r="A276" s="141">
        <f t="shared" si="292"/>
        <v>41431</v>
      </c>
      <c r="B276" s="307">
        <v>0.33333333333333298</v>
      </c>
      <c r="C276" s="304">
        <f t="shared" si="244"/>
        <v>24</v>
      </c>
      <c r="D276" s="305">
        <v>4.13</v>
      </c>
      <c r="E276" s="364">
        <v>79.209999999999994</v>
      </c>
      <c r="F276" s="66">
        <v>44500</v>
      </c>
      <c r="G276" s="66">
        <v>5.93</v>
      </c>
      <c r="H276" s="66">
        <v>44.4</v>
      </c>
      <c r="I276" s="66">
        <v>3743</v>
      </c>
      <c r="J276" s="86">
        <v>1914</v>
      </c>
      <c r="K276" s="86">
        <v>31.1</v>
      </c>
      <c r="L276" s="63">
        <v>250</v>
      </c>
      <c r="M276" s="86"/>
      <c r="N276" s="66"/>
      <c r="O276" s="265"/>
      <c r="P276" s="224"/>
      <c r="Q276" s="210"/>
      <c r="R276" s="225"/>
      <c r="S276" s="86"/>
      <c r="T276" s="86"/>
      <c r="U276" s="86"/>
      <c r="V276" s="305">
        <v>3.89</v>
      </c>
      <c r="W276" s="364">
        <v>79.91</v>
      </c>
      <c r="X276" s="66">
        <v>24600</v>
      </c>
      <c r="Y276" s="66">
        <v>35.6</v>
      </c>
      <c r="Z276" s="66">
        <v>1569</v>
      </c>
      <c r="AA276" s="86">
        <v>547</v>
      </c>
      <c r="AB276" s="86">
        <v>63.3</v>
      </c>
      <c r="AC276" s="63">
        <v>143</v>
      </c>
      <c r="AD276" s="865"/>
      <c r="AE276" s="866"/>
      <c r="AF276" s="912"/>
      <c r="AG276" s="912"/>
      <c r="AH276" s="866"/>
      <c r="AI276" s="854"/>
      <c r="AJ276" s="854"/>
      <c r="AK276" s="147"/>
      <c r="AL276" s="147">
        <v>34.5</v>
      </c>
      <c r="AM276" s="76">
        <v>0</v>
      </c>
      <c r="AN276" s="853"/>
      <c r="AO276" s="854"/>
      <c r="AP276" s="76">
        <v>5</v>
      </c>
      <c r="AQ276" s="490">
        <f>((AP276-AP$55)*AQ$2)</f>
        <v>120.69375000000001</v>
      </c>
      <c r="AR276" s="76"/>
      <c r="AS276" s="230"/>
      <c r="AT276" s="76"/>
      <c r="AU276" s="76"/>
      <c r="AV276" s="151"/>
      <c r="AW276" s="855"/>
      <c r="AX276" s="147">
        <v>68.2</v>
      </c>
      <c r="AY276" s="147">
        <v>30.5</v>
      </c>
      <c r="AZ276" s="66">
        <v>0</v>
      </c>
      <c r="BA276" s="66">
        <v>31</v>
      </c>
      <c r="BB276" s="66">
        <v>120</v>
      </c>
      <c r="BC276" s="63"/>
      <c r="BD276" s="64"/>
      <c r="BE276" s="64"/>
      <c r="BF276" s="86"/>
      <c r="BG276" s="305">
        <v>3.23</v>
      </c>
      <c r="BH276" s="364">
        <v>70.89</v>
      </c>
      <c r="BI276" s="66">
        <v>24200</v>
      </c>
      <c r="BJ276" s="66">
        <v>30.8</v>
      </c>
      <c r="BK276" s="66">
        <v>1811</v>
      </c>
      <c r="BL276" s="86">
        <v>336</v>
      </c>
      <c r="BM276" s="86">
        <v>72</v>
      </c>
      <c r="BN276" s="63">
        <v>122</v>
      </c>
      <c r="BO276" s="913"/>
      <c r="BP276" s="866"/>
      <c r="BQ276" s="914"/>
      <c r="BR276" s="915"/>
      <c r="BS276" s="916"/>
      <c r="BT276" s="917"/>
      <c r="BU276" s="918"/>
      <c r="BV276" s="65">
        <v>7.38</v>
      </c>
      <c r="BW276" s="66">
        <v>44.5</v>
      </c>
      <c r="BX276" s="66">
        <v>0</v>
      </c>
      <c r="BY276" s="159"/>
      <c r="BZ276" s="159"/>
      <c r="CA276" s="72">
        <v>3</v>
      </c>
      <c r="CB276" s="76">
        <f t="shared" si="249"/>
        <v>19518.534374999999</v>
      </c>
      <c r="CC276" s="208"/>
      <c r="CD276" s="208"/>
      <c r="CE276" s="761"/>
      <c r="CF276" s="72"/>
      <c r="CG276" s="72"/>
      <c r="CH276" s="433"/>
      <c r="CI276" s="147">
        <v>71.2</v>
      </c>
      <c r="CJ276" s="147">
        <v>25.6</v>
      </c>
      <c r="CK276" s="66">
        <v>0</v>
      </c>
      <c r="CL276" s="66">
        <v>12</v>
      </c>
      <c r="CM276" s="66">
        <v>155</v>
      </c>
      <c r="CN276" s="116"/>
    </row>
    <row r="277" spans="1:112" s="677" customFormat="1">
      <c r="A277" s="141">
        <f t="shared" si="292"/>
        <v>41432</v>
      </c>
      <c r="B277" s="663">
        <v>0.33333333333333298</v>
      </c>
      <c r="C277" s="304">
        <f t="shared" si="244"/>
        <v>24</v>
      </c>
      <c r="D277" s="665"/>
      <c r="E277" s="293"/>
      <c r="F277" s="293"/>
      <c r="G277" s="293">
        <v>5.6</v>
      </c>
      <c r="H277" s="293"/>
      <c r="I277" s="293"/>
      <c r="J277" s="666"/>
      <c r="K277" s="666"/>
      <c r="L277" s="299"/>
      <c r="M277" s="666">
        <v>55</v>
      </c>
      <c r="N277" s="293">
        <v>85</v>
      </c>
      <c r="O277" s="667"/>
      <c r="P277" s="665"/>
      <c r="Q277" s="293"/>
      <c r="R277" s="675"/>
      <c r="S277" s="666"/>
      <c r="T277" s="666"/>
      <c r="U277" s="666"/>
      <c r="V277" s="665"/>
      <c r="W277" s="293"/>
      <c r="X277" s="293"/>
      <c r="Y277" s="293"/>
      <c r="Z277" s="293"/>
      <c r="AA277" s="666"/>
      <c r="AB277" s="666"/>
      <c r="AC277" s="299"/>
      <c r="AD277" s="298"/>
      <c r="AE277" s="298"/>
      <c r="AF277" s="298"/>
      <c r="AG277" s="293"/>
      <c r="AH277" s="293"/>
      <c r="AI277" s="296"/>
      <c r="AJ277" s="296"/>
      <c r="AK277" s="296"/>
      <c r="AL277" s="296">
        <v>35.299999999999997</v>
      </c>
      <c r="AM277" s="870">
        <v>39</v>
      </c>
      <c r="AN277" s="853">
        <f t="shared" si="286"/>
        <v>84.240000000000009</v>
      </c>
      <c r="AO277" s="854">
        <f t="shared" si="287"/>
        <v>16.773504273504273</v>
      </c>
      <c r="AP277" s="870">
        <v>21</v>
      </c>
      <c r="AQ277" s="490">
        <f>((AP277-AP$276)*AQ$2)</f>
        <v>965.55000000000007</v>
      </c>
      <c r="AR277" s="76">
        <f t="shared" ref="AR277" si="293">(AQ277-AQ276)/(C277/24)</f>
        <v>844.85625000000005</v>
      </c>
      <c r="AS277" s="230">
        <f t="shared" si="281"/>
        <v>35.202343750000004</v>
      </c>
      <c r="AT277" s="76">
        <f>AR277/(AVERAGE(AN277)*(AVERAGE(D$276,D$274,D$246,D$262,D$248,D$255,D$261,D$234,D$238))*AVERAGE(E$276,E$274,E$246,E$262,E$248,E$255,E$261,E$234,E$238)*0.0001)</f>
        <v>378.14154827261387</v>
      </c>
      <c r="AU277" s="490"/>
      <c r="AV277" s="151">
        <f>AR277/(AVERAGE(AN277)*AVERAGE(D$276,D$274,D$246,D$262,D$248,D$255,D$261,D$234,D$238)*0.01)</f>
        <v>292.59387360954724</v>
      </c>
      <c r="AW277" s="855">
        <f t="shared" si="221"/>
        <v>0.59791666666666665</v>
      </c>
      <c r="AX277" s="296">
        <v>66.7</v>
      </c>
      <c r="AY277" s="296">
        <v>30.3</v>
      </c>
      <c r="AZ277" s="293">
        <v>0</v>
      </c>
      <c r="BA277" s="293">
        <v>54</v>
      </c>
      <c r="BB277" s="293">
        <v>80</v>
      </c>
      <c r="BC277" s="299"/>
      <c r="BD277" s="671"/>
      <c r="BE277" s="671"/>
      <c r="BF277" s="777"/>
      <c r="BG277" s="665"/>
      <c r="BH277" s="293"/>
      <c r="BI277" s="293"/>
      <c r="BJ277" s="293"/>
      <c r="BK277" s="293"/>
      <c r="BL277" s="666"/>
      <c r="BM277" s="666"/>
      <c r="BN277" s="299"/>
      <c r="BO277" s="298"/>
      <c r="BP277" s="298"/>
      <c r="BQ277" s="298"/>
      <c r="BR277" s="293"/>
      <c r="BS277" s="671"/>
      <c r="BT277" s="293"/>
      <c r="BU277" s="675"/>
      <c r="BV277" s="665"/>
      <c r="BW277" s="293">
        <v>50.6</v>
      </c>
      <c r="BX277" s="293">
        <v>29</v>
      </c>
      <c r="BY277" s="159">
        <f t="shared" ref="BY277:BY280" si="294">(BX277-BX276)*CB$1/((C277)/24)</f>
        <v>58</v>
      </c>
      <c r="BZ277" s="159">
        <f t="shared" ref="BZ277:BZ280" si="295">CB$3/BY277</f>
        <v>12.862068965517242</v>
      </c>
      <c r="CA277" s="301">
        <v>13</v>
      </c>
      <c r="CB277" s="490">
        <f t="shared" si="249"/>
        <v>20131.815624999999</v>
      </c>
      <c r="CC277" s="208">
        <f t="shared" si="290"/>
        <v>613.28125</v>
      </c>
      <c r="CD277" s="208">
        <f t="shared" si="291"/>
        <v>25.553385416666668</v>
      </c>
      <c r="CE277" s="761">
        <f t="shared" ref="CE277:CE282" si="296">CC277/(AVERAGE(BY276,BY277)*(AVERAGE(D$232,D$274,D$246,D$262,D$248,D$255,D$261,D$234,D$238))*AVERAGE(E$232,E$274,E$246,E$262,E$248,E$255,E$261,E$234,E$238)*0.0001)</f>
        <v>404.44090653309559</v>
      </c>
      <c r="CF277" s="293"/>
      <c r="CG277" s="72">
        <f>CC277/(AVERAGE(BY277)*AVERAGE((D$232,D$274,D$246,D$262,D$248,D$255,D$261,D$234,D$238))*0.01)</f>
        <v>314.134870986012</v>
      </c>
      <c r="CH277" s="433">
        <f t="shared" ref="CH277:CH340" si="297">CC277/CB$3</f>
        <v>0.82209282841823061</v>
      </c>
      <c r="CI277" s="296">
        <v>64.7</v>
      </c>
      <c r="CJ277" s="296">
        <v>33</v>
      </c>
      <c r="CK277" s="293">
        <v>0</v>
      </c>
      <c r="CL277" s="293">
        <v>81</v>
      </c>
      <c r="CM277" s="293">
        <v>235</v>
      </c>
      <c r="CN277" s="676"/>
    </row>
    <row r="278" spans="1:112" s="677" customFormat="1">
      <c r="A278" s="141">
        <f t="shared" si="292"/>
        <v>41433</v>
      </c>
      <c r="B278" s="663">
        <v>0.33333333333333298</v>
      </c>
      <c r="C278" s="304">
        <f t="shared" si="244"/>
        <v>24</v>
      </c>
      <c r="D278" s="665"/>
      <c r="E278" s="293"/>
      <c r="F278" s="301"/>
      <c r="G278" s="293"/>
      <c r="H278" s="293"/>
      <c r="I278" s="301"/>
      <c r="J278" s="772"/>
      <c r="K278" s="772"/>
      <c r="L278" s="299"/>
      <c r="M278" s="666"/>
      <c r="N278" s="293"/>
      <c r="O278" s="667"/>
      <c r="P278" s="665"/>
      <c r="Q278" s="293"/>
      <c r="R278" s="675"/>
      <c r="S278" s="666"/>
      <c r="T278" s="666"/>
      <c r="U278" s="666"/>
      <c r="V278" s="665"/>
      <c r="W278" s="293"/>
      <c r="X278" s="490"/>
      <c r="Y278" s="293"/>
      <c r="Z278" s="293"/>
      <c r="AA278" s="666"/>
      <c r="AB278" s="666"/>
      <c r="AC278" s="299"/>
      <c r="AD278" s="778"/>
      <c r="AE278" s="779"/>
      <c r="AF278" s="780"/>
      <c r="AG278" s="776"/>
      <c r="AH278" s="781"/>
      <c r="AI278" s="781"/>
      <c r="AJ278" s="850"/>
      <c r="AK278" s="296"/>
      <c r="AL278" s="296">
        <v>35.1</v>
      </c>
      <c r="AM278" s="490">
        <v>67</v>
      </c>
      <c r="AN278" s="853">
        <f t="shared" si="286"/>
        <v>60.480000000000004</v>
      </c>
      <c r="AO278" s="854">
        <f t="shared" si="287"/>
        <v>23.363095238095237</v>
      </c>
      <c r="AP278" s="490">
        <v>39</v>
      </c>
      <c r="AQ278" s="490">
        <f t="shared" ref="AQ278:AQ302" si="298">((AP278-AP$276)*AQ$2)</f>
        <v>2051.7937500000003</v>
      </c>
      <c r="AR278" s="76">
        <f t="shared" ref="AR278:AR280" si="299">(AQ278-AQ277)/(C278/24)</f>
        <v>1086.2437500000001</v>
      </c>
      <c r="AS278" s="230">
        <f t="shared" si="281"/>
        <v>45.260156250000001</v>
      </c>
      <c r="AT278" s="76">
        <f t="shared" ref="AT278:AT282" si="300">AR278/(AVERAGE(AN278)*(AVERAGE(D$276,D$274,D$246,D$262,D$248,D$255,D$261,D$234,D$238))*AVERAGE(E$276,E$274,E$246,E$262,E$248,E$255,E$261,E$234,E$238)*0.0001)</f>
        <v>677.18205838616063</v>
      </c>
      <c r="AU278" s="490"/>
      <c r="AV278" s="151">
        <f t="shared" ref="AV278:AV282" si="301">AR278/(AVERAGE(AN278)*AVERAGE(D$276,D$274,D$246,D$262,D$248,D$255,D$261,D$234,D$238)*0.01)</f>
        <v>523.98188590281165</v>
      </c>
      <c r="AW278" s="855">
        <f t="shared" si="221"/>
        <v>0.76875000000000004</v>
      </c>
      <c r="AX278" s="296"/>
      <c r="AY278" s="296"/>
      <c r="AZ278" s="293"/>
      <c r="BA278" s="293"/>
      <c r="BB278" s="293"/>
      <c r="BC278" s="299"/>
      <c r="BD278" s="671"/>
      <c r="BE278" s="671"/>
      <c r="BF278" s="666"/>
      <c r="BG278" s="665"/>
      <c r="BH278" s="293"/>
      <c r="BI278" s="490"/>
      <c r="BJ278" s="293"/>
      <c r="BK278" s="490"/>
      <c r="BL278" s="772"/>
      <c r="BM278" s="772"/>
      <c r="BN278" s="299"/>
      <c r="BO278" s="778"/>
      <c r="BP278" s="779"/>
      <c r="BQ278" s="780"/>
      <c r="BR278" s="776"/>
      <c r="BS278" s="782"/>
      <c r="BT278" s="781"/>
      <c r="BU278" s="783"/>
      <c r="BV278" s="665"/>
      <c r="BW278" s="293">
        <v>50.6</v>
      </c>
      <c r="BX278" s="293">
        <v>45</v>
      </c>
      <c r="BY278" s="159">
        <f t="shared" si="294"/>
        <v>32</v>
      </c>
      <c r="BZ278" s="159">
        <f t="shared" si="295"/>
        <v>23.3125</v>
      </c>
      <c r="CA278" s="301">
        <v>24</v>
      </c>
      <c r="CB278" s="490">
        <f t="shared" si="249"/>
        <v>20806.424999999999</v>
      </c>
      <c r="CC278" s="208">
        <f t="shared" si="290"/>
        <v>674.609375</v>
      </c>
      <c r="CD278" s="208">
        <f t="shared" si="291"/>
        <v>28.108723958333332</v>
      </c>
      <c r="CE278" s="761">
        <f t="shared" si="296"/>
        <v>573.40732970692216</v>
      </c>
      <c r="CF278" s="490"/>
      <c r="CG278" s="72">
        <f>CC278/(AVERAGE(BY278)*AVERAGE((D$232,D$274,D$246,D$262,D$248,D$255,D$261,D$234,D$238))*0.01)</f>
        <v>626.30639902836128</v>
      </c>
      <c r="CH278" s="433">
        <f t="shared" si="297"/>
        <v>0.90430211126005366</v>
      </c>
      <c r="CI278" s="296"/>
      <c r="CJ278" s="296"/>
      <c r="CK278" s="293"/>
      <c r="CL278" s="293"/>
      <c r="CM278" s="293"/>
      <c r="CN278" s="676"/>
    </row>
    <row r="279" spans="1:112" s="677" customFormat="1" ht="15">
      <c r="A279" s="141">
        <f t="shared" si="292"/>
        <v>41434</v>
      </c>
      <c r="B279" s="663">
        <v>0.33333333333333298</v>
      </c>
      <c r="C279" s="304">
        <f t="shared" si="244"/>
        <v>24</v>
      </c>
      <c r="D279" s="665"/>
      <c r="E279" s="293"/>
      <c r="F279" s="293"/>
      <c r="G279" s="293"/>
      <c r="H279" s="293"/>
      <c r="I279" s="293"/>
      <c r="J279" s="666"/>
      <c r="K279" s="666"/>
      <c r="L279" s="299"/>
      <c r="M279" s="666">
        <v>55</v>
      </c>
      <c r="N279" s="293">
        <v>85</v>
      </c>
      <c r="O279" s="667"/>
      <c r="P279" s="773">
        <v>175</v>
      </c>
      <c r="Q279" s="210">
        <f>P279/((N279-M279)*N$4)</f>
        <v>1.1610934182590233</v>
      </c>
      <c r="R279" s="225">
        <f>10*Q279/(AVERAGE(D$261,D$262))</f>
        <v>3.8574532168073867</v>
      </c>
      <c r="S279" s="666"/>
      <c r="T279" s="666"/>
      <c r="U279" s="666"/>
      <c r="V279" s="665"/>
      <c r="W279" s="293"/>
      <c r="X279" s="293"/>
      <c r="Y279" s="293"/>
      <c r="Z279" s="293"/>
      <c r="AA279" s="666"/>
      <c r="AB279" s="666"/>
      <c r="AC279" s="299"/>
      <c r="AD279" s="298"/>
      <c r="AE279" s="298"/>
      <c r="AF279" s="298"/>
      <c r="AG279" s="293"/>
      <c r="AH279" s="293"/>
      <c r="AI279" s="296"/>
      <c r="AJ279" s="296"/>
      <c r="AK279" s="296"/>
      <c r="AL279" s="296">
        <v>35.200000000000003</v>
      </c>
      <c r="AM279" s="490">
        <v>95</v>
      </c>
      <c r="AN279" s="853">
        <f t="shared" si="286"/>
        <v>60.480000000000004</v>
      </c>
      <c r="AO279" s="854">
        <f t="shared" si="287"/>
        <v>23.363095238095237</v>
      </c>
      <c r="AP279" s="490">
        <v>58</v>
      </c>
      <c r="AQ279" s="490">
        <f t="shared" si="298"/>
        <v>3198.3843750000001</v>
      </c>
      <c r="AR279" s="76">
        <f t="shared" si="299"/>
        <v>1146.5906249999998</v>
      </c>
      <c r="AS279" s="230">
        <f t="shared" si="281"/>
        <v>47.77460937499999</v>
      </c>
      <c r="AT279" s="76">
        <f t="shared" si="300"/>
        <v>714.80328385205826</v>
      </c>
      <c r="AU279" s="490"/>
      <c r="AV279" s="151">
        <f t="shared" si="301"/>
        <v>553.09199067519</v>
      </c>
      <c r="AW279" s="855">
        <f t="shared" si="221"/>
        <v>0.81145833333333317</v>
      </c>
      <c r="AX279" s="296"/>
      <c r="AY279" s="296"/>
      <c r="AZ279" s="293"/>
      <c r="BA279" s="293"/>
      <c r="BB279" s="293"/>
      <c r="BC279" s="299"/>
      <c r="BD279" s="671"/>
      <c r="BE279" s="671"/>
      <c r="BF279" s="666"/>
      <c r="BG279" s="665"/>
      <c r="BH279" s="293"/>
      <c r="BI279" s="293"/>
      <c r="BJ279" s="293"/>
      <c r="BK279" s="293"/>
      <c r="BL279" s="666"/>
      <c r="BM279" s="666"/>
      <c r="BN279" s="299"/>
      <c r="BO279" s="298"/>
      <c r="BP279" s="298"/>
      <c r="BQ279" s="298"/>
      <c r="BR279" s="293"/>
      <c r="BS279" s="671"/>
      <c r="BT279" s="293"/>
      <c r="BU279" s="675"/>
      <c r="BV279" s="665"/>
      <c r="BW279" s="293">
        <v>50.6</v>
      </c>
      <c r="BX279" s="293">
        <v>61</v>
      </c>
      <c r="BY279" s="159">
        <f t="shared" si="294"/>
        <v>32</v>
      </c>
      <c r="BZ279" s="159">
        <f t="shared" si="295"/>
        <v>23.3125</v>
      </c>
      <c r="CA279" s="301">
        <v>36</v>
      </c>
      <c r="CB279" s="490">
        <f t="shared" si="249"/>
        <v>21542.362499999999</v>
      </c>
      <c r="CC279" s="208">
        <f t="shared" si="290"/>
        <v>735.9375</v>
      </c>
      <c r="CD279" s="208">
        <f t="shared" si="291"/>
        <v>30.6640625</v>
      </c>
      <c r="CE279" s="761">
        <f t="shared" si="296"/>
        <v>879.65897170948278</v>
      </c>
      <c r="CF279" s="293"/>
      <c r="CG279" s="72">
        <f>CC279/(AVERAGE(BY279)*AVERAGE((D$232,D$274,D$246,D$262,D$248,D$255,D$261,D$234,D$238))*0.01)</f>
        <v>683.24334439457596</v>
      </c>
      <c r="CH279" s="433">
        <f t="shared" si="297"/>
        <v>0.98651139410187672</v>
      </c>
      <c r="CI279" s="296"/>
      <c r="CJ279" s="296"/>
      <c r="CK279" s="293"/>
      <c r="CL279" s="293"/>
      <c r="CM279" s="293"/>
      <c r="CN279" s="676"/>
    </row>
    <row r="280" spans="1:112" s="677" customFormat="1" ht="15">
      <c r="A280" s="141">
        <f t="shared" si="292"/>
        <v>41435</v>
      </c>
      <c r="B280" s="663">
        <v>0.33333333333333298</v>
      </c>
      <c r="C280" s="304">
        <f t="shared" si="244"/>
        <v>24</v>
      </c>
      <c r="D280" s="665"/>
      <c r="E280" s="293"/>
      <c r="F280" s="293"/>
      <c r="G280" s="293"/>
      <c r="H280" s="293"/>
      <c r="I280" s="293"/>
      <c r="J280" s="666"/>
      <c r="K280" s="666"/>
      <c r="L280" s="299"/>
      <c r="M280" s="666"/>
      <c r="N280" s="293"/>
      <c r="O280" s="667"/>
      <c r="P280" s="773"/>
      <c r="Q280" s="774"/>
      <c r="R280" s="775"/>
      <c r="S280" s="786"/>
      <c r="T280" s="786"/>
      <c r="U280" s="777"/>
      <c r="V280" s="665"/>
      <c r="W280" s="293"/>
      <c r="X280" s="293"/>
      <c r="Y280" s="293"/>
      <c r="Z280" s="293"/>
      <c r="AA280" s="666"/>
      <c r="AB280" s="666"/>
      <c r="AC280" s="299"/>
      <c r="AD280" s="298"/>
      <c r="AE280" s="298"/>
      <c r="AF280" s="298"/>
      <c r="AG280" s="293"/>
      <c r="AH280" s="293"/>
      <c r="AI280" s="296"/>
      <c r="AJ280" s="296"/>
      <c r="AK280" s="296"/>
      <c r="AL280" s="296">
        <v>35.200000000000003</v>
      </c>
      <c r="AM280" s="490">
        <v>123</v>
      </c>
      <c r="AN280" s="853">
        <f t="shared" si="286"/>
        <v>60.480000000000004</v>
      </c>
      <c r="AO280" s="854">
        <f t="shared" si="287"/>
        <v>23.363095238095237</v>
      </c>
      <c r="AP280" s="490">
        <v>79</v>
      </c>
      <c r="AQ280" s="490">
        <f t="shared" si="298"/>
        <v>4465.6687500000007</v>
      </c>
      <c r="AR280" s="76">
        <f t="shared" si="299"/>
        <v>1267.2843750000006</v>
      </c>
      <c r="AS280" s="230">
        <f t="shared" si="281"/>
        <v>52.803515625000024</v>
      </c>
      <c r="AT280" s="76">
        <f t="shared" si="300"/>
        <v>790.04573478385441</v>
      </c>
      <c r="AU280" s="490"/>
      <c r="AV280" s="151">
        <f t="shared" si="301"/>
        <v>611.31220021994716</v>
      </c>
      <c r="AW280" s="855">
        <f t="shared" si="221"/>
        <v>0.89687500000000042</v>
      </c>
      <c r="AX280" s="296"/>
      <c r="AY280" s="296"/>
      <c r="AZ280" s="293"/>
      <c r="BA280" s="293"/>
      <c r="BB280" s="293"/>
      <c r="BC280" s="299"/>
      <c r="BD280" s="792"/>
      <c r="BE280" s="792"/>
      <c r="BF280" s="777"/>
      <c r="BG280" s="665"/>
      <c r="BH280" s="293"/>
      <c r="BI280" s="293"/>
      <c r="BJ280" s="293"/>
      <c r="BK280" s="293"/>
      <c r="BL280" s="666"/>
      <c r="BM280" s="666"/>
      <c r="BN280" s="299"/>
      <c r="BO280" s="298"/>
      <c r="BP280" s="298"/>
      <c r="BQ280" s="298"/>
      <c r="BR280" s="293"/>
      <c r="BS280" s="671"/>
      <c r="BT280" s="293"/>
      <c r="BU280" s="675"/>
      <c r="BV280" s="665"/>
      <c r="BW280" s="293">
        <v>50.7</v>
      </c>
      <c r="BX280" s="293">
        <v>76</v>
      </c>
      <c r="BY280" s="159">
        <f t="shared" si="294"/>
        <v>30</v>
      </c>
      <c r="BZ280" s="159">
        <f t="shared" si="295"/>
        <v>24.866666666666667</v>
      </c>
      <c r="CA280" s="301">
        <v>47</v>
      </c>
      <c r="CB280" s="490">
        <f t="shared" si="249"/>
        <v>22216.971874999999</v>
      </c>
      <c r="CC280" s="208">
        <f t="shared" si="290"/>
        <v>674.609375</v>
      </c>
      <c r="CD280" s="208">
        <f t="shared" si="291"/>
        <v>28.108723958333332</v>
      </c>
      <c r="CE280" s="761">
        <f t="shared" si="296"/>
        <v>832.36547860682231</v>
      </c>
      <c r="CF280" s="293"/>
      <c r="CG280" s="72">
        <f>CC280/(AVERAGE(BY280)*AVERAGE((D$232,D$274,D$246,D$262,D$248,D$255,D$261,D$234,D$238))*0.01)</f>
        <v>668.06015896358542</v>
      </c>
      <c r="CH280" s="433">
        <f t="shared" si="297"/>
        <v>0.90430211126005366</v>
      </c>
      <c r="CI280" s="296"/>
      <c r="CJ280" s="296"/>
      <c r="CK280" s="293"/>
      <c r="CL280" s="293"/>
      <c r="CM280" s="293"/>
      <c r="CN280" s="676"/>
    </row>
    <row r="281" spans="1:112" s="677" customFormat="1" ht="15">
      <c r="A281" s="141">
        <f t="shared" si="292"/>
        <v>41436</v>
      </c>
      <c r="B281" s="663">
        <v>0.33333333333333298</v>
      </c>
      <c r="C281" s="304">
        <f t="shared" si="244"/>
        <v>24</v>
      </c>
      <c r="D281" s="665"/>
      <c r="E281" s="293"/>
      <c r="F281" s="301"/>
      <c r="G281" s="293">
        <v>5.3</v>
      </c>
      <c r="H281" s="293"/>
      <c r="I281" s="301"/>
      <c r="J281" s="772"/>
      <c r="K281" s="772"/>
      <c r="L281" s="299"/>
      <c r="M281" s="666">
        <v>60</v>
      </c>
      <c r="N281" s="293">
        <v>90</v>
      </c>
      <c r="O281" s="667"/>
      <c r="P281" s="665">
        <v>175</v>
      </c>
      <c r="Q281" s="210">
        <f>P281/((N281-M281)*N$4)</f>
        <v>1.1610934182590233</v>
      </c>
      <c r="R281" s="225">
        <f>10*Q281/(AVERAGE(D$261,D$262))</f>
        <v>3.8574532168073867</v>
      </c>
      <c r="S281" s="666"/>
      <c r="T281" s="666"/>
      <c r="U281" s="777"/>
      <c r="V281" s="665"/>
      <c r="W281" s="293"/>
      <c r="X281" s="293"/>
      <c r="Y281" s="293"/>
      <c r="Z281" s="293"/>
      <c r="AA281" s="666"/>
      <c r="AB281" s="666"/>
      <c r="AC281" s="299"/>
      <c r="AD281" s="298"/>
      <c r="AE281" s="298"/>
      <c r="AF281" s="298"/>
      <c r="AG281" s="293"/>
      <c r="AH281" s="293"/>
      <c r="AI281" s="296"/>
      <c r="AJ281" s="296"/>
      <c r="AK281" s="296"/>
      <c r="AL281" s="296">
        <v>35.200000000000003</v>
      </c>
      <c r="AM281" s="490">
        <v>151</v>
      </c>
      <c r="AN281" s="853">
        <f t="shared" ref="AN281:AN283" si="302">(AM281-AM280)*AQ$1/((C280)/24)</f>
        <v>60.480000000000004</v>
      </c>
      <c r="AO281" s="854">
        <f t="shared" ref="AO281:AO283" si="303">AQ$3/AN281</f>
        <v>23.363095238095237</v>
      </c>
      <c r="AP281" s="490">
        <v>100</v>
      </c>
      <c r="AQ281" s="490">
        <f t="shared" si="298"/>
        <v>5732.953125</v>
      </c>
      <c r="AR281" s="76">
        <f t="shared" ref="AR281:AR288" si="304">(AQ281-AQ280)/(C281/24)</f>
        <v>1267.2843749999993</v>
      </c>
      <c r="AS281" s="230">
        <f t="shared" ref="AS281:AS288" si="305">(AQ281-AQ280)/C281</f>
        <v>52.803515624999967</v>
      </c>
      <c r="AT281" s="76">
        <f t="shared" si="300"/>
        <v>790.0457347838535</v>
      </c>
      <c r="AU281" s="296"/>
      <c r="AV281" s="151">
        <f t="shared" si="301"/>
        <v>611.31220021994659</v>
      </c>
      <c r="AW281" s="855">
        <f t="shared" si="221"/>
        <v>0.89687499999999953</v>
      </c>
      <c r="AX281" s="296"/>
      <c r="AY281" s="296"/>
      <c r="AZ281" s="293"/>
      <c r="BA281" s="293"/>
      <c r="BB281" s="293"/>
      <c r="BC281" s="299"/>
      <c r="BD281" s="671"/>
      <c r="BE281" s="671"/>
      <c r="BF281" s="777"/>
      <c r="BG281" s="665"/>
      <c r="BH281" s="293"/>
      <c r="BI281" s="293"/>
      <c r="BJ281" s="293"/>
      <c r="BK281" s="293"/>
      <c r="BL281" s="772"/>
      <c r="BM281" s="772"/>
      <c r="BN281" s="299"/>
      <c r="BO281" s="298"/>
      <c r="BP281" s="298"/>
      <c r="BQ281" s="298"/>
      <c r="BR281" s="293"/>
      <c r="BS281" s="671"/>
      <c r="BT281" s="293"/>
      <c r="BU281" s="675"/>
      <c r="BV281" s="665"/>
      <c r="BW281" s="293">
        <v>50.6</v>
      </c>
      <c r="BX281" s="293">
        <v>93</v>
      </c>
      <c r="BY281" s="159">
        <f t="shared" ref="BY281:BY288" si="306">(BX281-BX280)*CB$1/((C281)/24)</f>
        <v>34</v>
      </c>
      <c r="BZ281" s="159">
        <f t="shared" ref="BZ281:BZ288" si="307">CB$3/BY281</f>
        <v>21.941176470588236</v>
      </c>
      <c r="CA281" s="301">
        <v>59</v>
      </c>
      <c r="CB281" s="490">
        <f t="shared" si="249"/>
        <v>22952.909374999999</v>
      </c>
      <c r="CC281" s="208">
        <f t="shared" ref="CC281:CC288" si="308">(CB281-CB280)/((C281/24))</f>
        <v>735.9375</v>
      </c>
      <c r="CD281" s="208">
        <f t="shared" ref="CD281:CD288" si="309">(CB281-CB280)/(C281)</f>
        <v>30.6640625</v>
      </c>
      <c r="CE281" s="761">
        <f t="shared" si="296"/>
        <v>879.65897170948278</v>
      </c>
      <c r="CF281" s="490"/>
      <c r="CG281" s="72">
        <f>CC281/(AVERAGE(BY281)*AVERAGE((D$232,D$274,D$246,D$262,D$248,D$255,D$261,D$234,D$238))*0.01)</f>
        <v>643.05255943018926</v>
      </c>
      <c r="CH281" s="433">
        <f t="shared" si="297"/>
        <v>0.98651139410187672</v>
      </c>
      <c r="CI281" s="296"/>
      <c r="CJ281" s="296"/>
      <c r="CK281" s="293"/>
      <c r="CL281" s="293"/>
      <c r="CM281" s="293"/>
      <c r="CN281" s="676"/>
    </row>
    <row r="282" spans="1:112" s="337" customFormat="1" ht="15">
      <c r="A282" s="309">
        <f t="shared" si="292"/>
        <v>41437</v>
      </c>
      <c r="B282" s="310">
        <v>0.33333333333333298</v>
      </c>
      <c r="C282" s="311">
        <f t="shared" si="244"/>
        <v>24</v>
      </c>
      <c r="D282" s="339">
        <v>4.3</v>
      </c>
      <c r="E282" s="365">
        <v>74.900000000000006</v>
      </c>
      <c r="F282" s="319"/>
      <c r="G282" s="319">
        <v>5.1100000000000003</v>
      </c>
      <c r="H282" s="319"/>
      <c r="I282" s="319"/>
      <c r="J282" s="317"/>
      <c r="K282" s="317"/>
      <c r="L282" s="320"/>
      <c r="M282" s="317"/>
      <c r="N282" s="319"/>
      <c r="O282" s="472"/>
      <c r="P282" s="763"/>
      <c r="Q282" s="764"/>
      <c r="R282" s="765"/>
      <c r="S282" s="317"/>
      <c r="T282" s="317"/>
      <c r="U282" s="317"/>
      <c r="V282" s="339">
        <v>2.2999999999999998</v>
      </c>
      <c r="W282" s="365">
        <v>64.099999999999994</v>
      </c>
      <c r="X282" s="319"/>
      <c r="Y282" s="319"/>
      <c r="Z282" s="319"/>
      <c r="AA282" s="317"/>
      <c r="AB282" s="317"/>
      <c r="AC282" s="320"/>
      <c r="AD282" s="752">
        <f>D276*(100-E276)/(100-W282)</f>
        <v>2.3917186629526466</v>
      </c>
      <c r="AE282" s="753">
        <f>D276-V282</f>
        <v>1.83</v>
      </c>
      <c r="AF282" s="864">
        <f>100*(AVERAGE(D$276,D$274,D$246,D$262,D$248,D$255,D$261,D$234,D$238)-V282)/AVERAGE(D$276,D$274,D$246,D$262,D$248,D$255,D$261,D$234,D$238)</f>
        <v>32.89906040276437</v>
      </c>
      <c r="AG282" s="864">
        <f>100*(1-((100-AVERAGE(E$276,E$274,E$246,E$262,E$248,E$255,E$261,E$234,E$238))/(100-W282)))</f>
        <v>36.982762280026016</v>
      </c>
      <c r="AH282" s="753">
        <f>E276-W282</f>
        <v>15.11</v>
      </c>
      <c r="AI282" s="847">
        <f>100*(1-((V282*W282)/(AVERAGE(D$276,D$274,D$246,D$262,D$248,D$255,D$261,D$234,D$238)*AVERAGE(E$276,E$274,E$246,E$262,E$248,E$255,E$261,E$234,E$238))))</f>
        <v>44.412671755405931</v>
      </c>
      <c r="AJ282" s="847">
        <f>100*100*((AVERAGE(E$276,E$274,E$246,E$262,E$248,E$255,E$261,E$234,E$238)-W282)/((100-W282)*AVERAGE(E$276,E$274,E$246,E$262,E$248,E$255,E$261,E$234,E$238)))</f>
        <v>47.795665765131538</v>
      </c>
      <c r="AK282" s="330">
        <v>7.02</v>
      </c>
      <c r="AL282" s="330">
        <v>35.299999999999997</v>
      </c>
      <c r="AM282" s="348">
        <v>179</v>
      </c>
      <c r="AN282" s="846">
        <f t="shared" si="302"/>
        <v>60.480000000000004</v>
      </c>
      <c r="AO282" s="847">
        <f t="shared" si="303"/>
        <v>23.363095238095237</v>
      </c>
      <c r="AP282" s="348">
        <v>122</v>
      </c>
      <c r="AQ282" s="490">
        <f t="shared" si="298"/>
        <v>7060.5843750000004</v>
      </c>
      <c r="AR282" s="348">
        <f t="shared" si="304"/>
        <v>1327.6312500000004</v>
      </c>
      <c r="AS282" s="512">
        <f t="shared" si="305"/>
        <v>55.317968750000013</v>
      </c>
      <c r="AT282" s="348">
        <f t="shared" si="300"/>
        <v>827.66696024975204</v>
      </c>
      <c r="AU282" s="348">
        <f>(AQ282-AQ276)/(AVERAGE(AN276:AN282)*((AVERAGE(D$246,D$262,D$261,D$255,D$274,D$276)*AVERAGE(E$246,E$262,E$261,E$255,E$274,E$276))-(V282*W282))*0.0001*(SUM(C276:C282)/24))</f>
        <v>1419.3480729472485</v>
      </c>
      <c r="AV282" s="945">
        <f t="shared" si="301"/>
        <v>640.42230499232551</v>
      </c>
      <c r="AW282" s="848">
        <f t="shared" si="221"/>
        <v>0.93958333333333355</v>
      </c>
      <c r="AX282" s="330"/>
      <c r="AY282" s="330"/>
      <c r="AZ282" s="319"/>
      <c r="BA282" s="319"/>
      <c r="BB282" s="319"/>
      <c r="BC282" s="320"/>
      <c r="BD282" s="368"/>
      <c r="BE282" s="368"/>
      <c r="BF282" s="317"/>
      <c r="BG282" s="339">
        <v>2.4</v>
      </c>
      <c r="BH282" s="365">
        <v>60.3</v>
      </c>
      <c r="BI282" s="319"/>
      <c r="BJ282" s="319"/>
      <c r="BK282" s="319"/>
      <c r="BL282" s="317"/>
      <c r="BM282" s="317"/>
      <c r="BN282" s="320"/>
      <c r="BO282" s="859">
        <f>D276*(100-E276)/(100-BH282)</f>
        <v>2.1627884130982369</v>
      </c>
      <c r="BP282" s="753">
        <f>D276-BG282</f>
        <v>1.73</v>
      </c>
      <c r="BQ282" s="860">
        <f>100*(AVERAGE(D$276,D$274,D$246,D$262,D$248,D$255,D$261,D$234,D$238)-BG282)/AVERAGE(D$276,D$274,D$246,D$262,D$248,D$255,D$261,D$234,D$238)</f>
        <v>29.981628246362821</v>
      </c>
      <c r="BR282" s="861">
        <f>100*(1-((100-AVERAGE(E$276,E$274,E$246,E$262,E$248,E$255,E$261,E$234,E$238))/(100-BH282)))</f>
        <v>43.014638938361053</v>
      </c>
      <c r="BS282" s="858">
        <f>E276-BH282</f>
        <v>18.909999999999997</v>
      </c>
      <c r="BT282" s="862">
        <f>100*(1-((BG282*BH282)/(AVERAGE(D$276,D$274,D$246,D$262,D$248,D$255,D$261,D$234,D$238)*AVERAGE(E$276,E$274,E$246,E$262,E$248,E$255,E$261,E$234,E$238))))</f>
        <v>45.434456056720784</v>
      </c>
      <c r="BU282" s="863">
        <f>100*100*((AVERAGE(E$276,E$274,E$246,E$262,E$248,E$255,E$261,E$234,E$238)-BH282)/((100-BH282)*AVERAGE(E$276,E$274,E$246,E$262,E$248,E$255,E$261,E$234,E$238)))</f>
        <v>55.591123511509394</v>
      </c>
      <c r="BV282" s="318">
        <v>7.23</v>
      </c>
      <c r="BW282" s="319">
        <v>50.5</v>
      </c>
      <c r="BX282" s="319">
        <v>96</v>
      </c>
      <c r="BY282" s="462">
        <f t="shared" si="306"/>
        <v>6</v>
      </c>
      <c r="BZ282" s="462">
        <f t="shared" si="307"/>
        <v>124.33333333333333</v>
      </c>
      <c r="CA282" s="313">
        <v>70</v>
      </c>
      <c r="CB282" s="348">
        <f t="shared" si="249"/>
        <v>23627.518749999999</v>
      </c>
      <c r="CC282" s="334">
        <f t="shared" si="308"/>
        <v>674.609375</v>
      </c>
      <c r="CD282" s="334">
        <f t="shared" si="309"/>
        <v>28.108723958333332</v>
      </c>
      <c r="CE282" s="756">
        <f t="shared" si="296"/>
        <v>1290.1664918405747</v>
      </c>
      <c r="CF282" s="313">
        <f>(CB282-CB276)/(AVERAGE(BY276:BY282)*((AVERAGE(D$255,D$276,D$248,D$261,D$262,D$274,D$246,D$238)*AVERAGE(E$255,E$276,E$248,E$261,E$262,E$274,E$246,D$238))-(BG282*BH282))*0.0001*(SUM(C276:C282)/24))</f>
        <v>2149.5597387030621</v>
      </c>
      <c r="CG282" s="313">
        <f>CC282/(AVERAGE(BY282,BY283)*AVERAGE((D$232,D$274,D$246,D$262,D$248,D$255,D$261,D$234,D$238))*0.01)</f>
        <v>626.30639902836128</v>
      </c>
      <c r="CH282" s="477">
        <f t="shared" si="297"/>
        <v>0.90430211126005366</v>
      </c>
      <c r="CI282" s="319"/>
      <c r="CJ282" s="319"/>
      <c r="CK282" s="319"/>
      <c r="CL282" s="319"/>
      <c r="CM282" s="319"/>
      <c r="CN282" s="442"/>
    </row>
    <row r="283" spans="1:112" s="337" customFormat="1" ht="28.5">
      <c r="A283" s="309">
        <f t="shared" si="292"/>
        <v>41438</v>
      </c>
      <c r="B283" s="310">
        <v>0.33333333333333298</v>
      </c>
      <c r="C283" s="311">
        <f t="shared" si="244"/>
        <v>24</v>
      </c>
      <c r="D283" s="318">
        <v>4.9000000000000004</v>
      </c>
      <c r="E283" s="319">
        <v>76.5</v>
      </c>
      <c r="F283" s="319">
        <v>53900</v>
      </c>
      <c r="G283" s="319"/>
      <c r="H283" s="319"/>
      <c r="I283" s="319">
        <v>9294</v>
      </c>
      <c r="J283" s="317"/>
      <c r="K283" s="317"/>
      <c r="L283" s="320"/>
      <c r="M283" s="317">
        <v>55</v>
      </c>
      <c r="N283" s="319">
        <v>85</v>
      </c>
      <c r="O283" s="472"/>
      <c r="P283" s="763">
        <v>525</v>
      </c>
      <c r="Q283" s="764">
        <f>P283/((N283-M283)*N$4)</f>
        <v>3.4832802547770703</v>
      </c>
      <c r="R283" s="765">
        <f>10*Q283/(AVERAGE(D$261,D$262))</f>
        <v>11.572359650422161</v>
      </c>
      <c r="S283" s="317"/>
      <c r="T283" s="317"/>
      <c r="U283" s="757"/>
      <c r="V283" s="318">
        <v>2.5</v>
      </c>
      <c r="W283" s="319">
        <v>65.099999999999994</v>
      </c>
      <c r="X283" s="319">
        <v>27700</v>
      </c>
      <c r="Y283" s="319"/>
      <c r="Z283" s="319">
        <v>1875</v>
      </c>
      <c r="AA283" s="317"/>
      <c r="AB283" s="317"/>
      <c r="AC283" s="320"/>
      <c r="AD283" s="752">
        <f>D282*(100-E282)/(100-W283)</f>
        <v>3.0925501432664739</v>
      </c>
      <c r="AE283" s="753">
        <f>D282-V283</f>
        <v>1.7999999999999998</v>
      </c>
      <c r="AF283" s="864">
        <f>100*(AVERAGE(D$276,D$274,D$246,D$262,D$248,D$255,D$261,D$283,D$238)-V283)/AVERAGE(D$276,D$274,D$246,D$262,D$248,D$255,D$261,D$283,D$238)</f>
        <v>29.575362879216733</v>
      </c>
      <c r="AG283" s="864">
        <f>100*(1-((100-AVERAGE(E$276,E$274,E$246,E$262,E$248,E$255,E$261,E$283,E$238))/(100-W283)))</f>
        <v>34.731392845197092</v>
      </c>
      <c r="AH283" s="753">
        <f>E282-W283</f>
        <v>9.8000000000000114</v>
      </c>
      <c r="AI283" s="847">
        <f>100*(1-((V283*W283)/(AVERAGE(D$276,D$274,D$246,D$262,D$248,D$255,D$261,D$283,D$238)*AVERAGE(E$276,E$274,E$246,E$262,E$248,E$255,E$261,E$283,E$238))))</f>
        <v>40.629768176142932</v>
      </c>
      <c r="AJ283" s="847">
        <f>100*100*((AVERAGE(E$276,E$274,E$246,E$262,E$248,E$255,E$261,E$283,E$238)-W283)/((100-W283)*AVERAGE(E$276,E$274,E$246,E$262,E$248,E$255,E$261,E$283,E$238)))</f>
        <v>44.976467099788074</v>
      </c>
      <c r="AK283" s="318"/>
      <c r="AL283" s="319">
        <v>35.200000000000003</v>
      </c>
      <c r="AM283" s="313">
        <v>207</v>
      </c>
      <c r="AN283" s="846">
        <f t="shared" si="302"/>
        <v>60.480000000000004</v>
      </c>
      <c r="AO283" s="847">
        <f t="shared" si="303"/>
        <v>23.363095238095237</v>
      </c>
      <c r="AP283" s="313">
        <v>145</v>
      </c>
      <c r="AQ283" s="490">
        <f t="shared" si="298"/>
        <v>8448.5625</v>
      </c>
      <c r="AR283" s="348">
        <f t="shared" si="304"/>
        <v>1387.9781249999996</v>
      </c>
      <c r="AS283" s="512">
        <f t="shared" si="305"/>
        <v>57.832421874999987</v>
      </c>
      <c r="AT283" s="348">
        <f>AR283/(AVERAGE(AN283)*(AVERAGE(D$276,D$274,D$246,D$262,D$248,D$255,D$261,D$282,D$238))*AVERAGE(E$276,E$274,E$246,E$262,E$248,E$255,E$261,E$282,E$238)*0.0001)</f>
        <v>855.17132848371239</v>
      </c>
      <c r="AU283" s="348">
        <f>(AQ283-AQ277)/(AVERAGE(AN277:AN283)*((AVERAGE(D$276,D$274,D$246,D$262,D$248,D$255,D$261,D$282,D$238)*AVERAGE(E$276,E$274,E$246,E$262,E$248,E$255,E$261,E$282,E$238))-(V283*W283))*0.0001*(SUM(C277:C283)/24))</f>
        <v>1584.7017019424275</v>
      </c>
      <c r="AV283" s="945">
        <f>AR283/(AVERAGE(AN283)*AVERAGE(D$276,D$274,D$246,D$262,D$248,D$255,D$261,D$282,D$238)*0.01)</f>
        <v>658.85373710363979</v>
      </c>
      <c r="AW283" s="848">
        <f t="shared" si="221"/>
        <v>0.98229166666666645</v>
      </c>
      <c r="AX283" s="319"/>
      <c r="AY283" s="319"/>
      <c r="AZ283" s="319"/>
      <c r="BA283" s="319"/>
      <c r="BB283" s="319"/>
      <c r="BC283" s="320"/>
      <c r="BD283" s="368"/>
      <c r="BE283" s="368"/>
      <c r="BF283" s="757"/>
      <c r="BG283" s="318">
        <v>2.5</v>
      </c>
      <c r="BH283" s="319">
        <v>65</v>
      </c>
      <c r="BI283" s="319">
        <v>29200</v>
      </c>
      <c r="BJ283" s="319"/>
      <c r="BK283" s="319">
        <v>4160</v>
      </c>
      <c r="BL283" s="317"/>
      <c r="BM283" s="317"/>
      <c r="BN283" s="320"/>
      <c r="BO283" s="859">
        <f>D282*(100-E282)/(100-BH283)</f>
        <v>3.0837142857142847</v>
      </c>
      <c r="BP283" s="753">
        <f>D282-BG283</f>
        <v>1.7999999999999998</v>
      </c>
      <c r="BQ283" s="860">
        <f>100*(AVERAGE(D$276,D$274,D$246,D$262,D$248,D$255,D$261,D$283,D$238)-BG283)/AVERAGE(D$276,D$274,D$246,D$262,D$248,D$255,D$261,D$283,D$238)</f>
        <v>29.575362879216733</v>
      </c>
      <c r="BR283" s="861">
        <f>100*(1-((100-AVERAGE(E$276,E$274,E$246,E$262,E$248,E$255,E$261,E$283,E$238))/(100-BH283)))</f>
        <v>34.91787457992509</v>
      </c>
      <c r="BS283" s="858">
        <f>E282-BH283</f>
        <v>9.9000000000000057</v>
      </c>
      <c r="BT283" s="862">
        <f>100*(1-((BG283*BH283)/(AVERAGE(D$276,D$274,D$246,D$262,D$248,D$255,D$261,D$283,D$238)*AVERAGE(E$276,E$274,E$246,E$262,E$248,E$255,E$261,E$283,E$238))))</f>
        <v>40.720966688929195</v>
      </c>
      <c r="BU283" s="863">
        <f>100*100*((AVERAGE(E$276,E$274,E$246,E$262,E$248,E$255,E$261,E$283,E$238)-BH283)/((100-BH283)*AVERAGE(E$276,E$274,E$246,E$262,E$248,E$255,E$261,E$283,E$238)))</f>
        <v>45.217957259543219</v>
      </c>
      <c r="BV283" s="318"/>
      <c r="BW283" s="319">
        <v>50.7</v>
      </c>
      <c r="BX283" s="319">
        <v>125</v>
      </c>
      <c r="BY283" s="462">
        <f t="shared" si="306"/>
        <v>58</v>
      </c>
      <c r="BZ283" s="462">
        <f t="shared" si="307"/>
        <v>12.862068965517242</v>
      </c>
      <c r="CA283" s="313">
        <v>83</v>
      </c>
      <c r="CB283" s="348">
        <f t="shared" si="249"/>
        <v>24424.784374999999</v>
      </c>
      <c r="CC283" s="334">
        <f t="shared" si="308"/>
        <v>797.265625</v>
      </c>
      <c r="CD283" s="334">
        <f t="shared" si="309"/>
        <v>33.219401041666664</v>
      </c>
      <c r="CE283" s="984">
        <f>CC283/(AVERAGE(BY282,BY283)*(AVERAGE(D$282,D$274,D$246,D$262,D$248,D$255,D$261,D$234,D$238))*AVERAGE(E$282,E$274,E$246,E$262,E$248,E$255,E$261,E$234,E$238)*0.0001)</f>
        <v>940.05338907591783</v>
      </c>
      <c r="CF283" s="313">
        <f>(CB283-CB277)/(AVERAGE(BY277:BY283)*((AVERAGE(D$276,D$274,D$246,D$262,D$248,D$255,D$261,D$283,D$238,D$282)*AVERAGE(E$276,E$274,E$246,E$262,E$248,E$255,E$261,E$283,E$238,E$282))-(BG283*BH283))*0.0001*(SUM(C277:C283)/24))</f>
        <v>1472.9912354485398</v>
      </c>
      <c r="CG283" s="441">
        <f>CC283/(AVERAGE(BY283)*AVERAGE((D$282,D$274,D$246,D$262,D$248,D$255,D$261,D$234,D$238))*0.01)</f>
        <v>398.83118848275143</v>
      </c>
      <c r="CH283" s="477">
        <f t="shared" si="297"/>
        <v>1.0687206769436997</v>
      </c>
      <c r="CI283" s="319"/>
      <c r="CJ283" s="319"/>
      <c r="CK283" s="319"/>
      <c r="CL283" s="319"/>
      <c r="CM283" s="319"/>
      <c r="CN283" s="442"/>
      <c r="CP283" s="337" t="s">
        <v>71</v>
      </c>
      <c r="CT283" s="469" t="s">
        <v>68</v>
      </c>
      <c r="CX283" s="469" t="s">
        <v>68</v>
      </c>
      <c r="CY283" s="337" t="s">
        <v>46</v>
      </c>
      <c r="DA283" s="337" t="s">
        <v>72</v>
      </c>
      <c r="DG283" s="469" t="s">
        <v>68</v>
      </c>
      <c r="DH283" s="337" t="s">
        <v>46</v>
      </c>
    </row>
    <row r="284" spans="1:112" s="677" customFormat="1" ht="26.25" thickBot="1">
      <c r="A284" s="141">
        <f t="shared" si="292"/>
        <v>41439</v>
      </c>
      <c r="B284" s="663">
        <v>0.33333333333333298</v>
      </c>
      <c r="C284" s="304">
        <f t="shared" si="244"/>
        <v>24</v>
      </c>
      <c r="D284" s="665"/>
      <c r="E284" s="293"/>
      <c r="F284" s="293"/>
      <c r="G284" s="293">
        <v>5.0999999999999996</v>
      </c>
      <c r="H284" s="293"/>
      <c r="I284" s="293"/>
      <c r="J284" s="666"/>
      <c r="K284" s="666"/>
      <c r="L284" s="299"/>
      <c r="M284" s="666"/>
      <c r="N284" s="293"/>
      <c r="O284" s="667"/>
      <c r="P284" s="773"/>
      <c r="Q284" s="774"/>
      <c r="R284" s="775"/>
      <c r="S284" s="666"/>
      <c r="T284" s="666"/>
      <c r="U284" s="777"/>
      <c r="V284" s="665"/>
      <c r="W284" s="293"/>
      <c r="X284" s="293"/>
      <c r="Y284" s="293"/>
      <c r="Z284" s="293"/>
      <c r="AA284" s="666"/>
      <c r="AB284" s="666"/>
      <c r="AC284" s="299"/>
      <c r="AD284" s="298"/>
      <c r="AE284" s="298"/>
      <c r="AF284" s="298"/>
      <c r="AG284" s="293"/>
      <c r="AH284" s="293"/>
      <c r="AI284" s="671"/>
      <c r="AJ284" s="299"/>
      <c r="AK284" s="665"/>
      <c r="AL284" s="293">
        <v>35.299999999999997</v>
      </c>
      <c r="AM284" s="301">
        <v>235</v>
      </c>
      <c r="AN284" s="853">
        <f t="shared" ref="AN284:AN288" si="310">(AM284-AM283)*AQ$1/((C283)/24)</f>
        <v>60.480000000000004</v>
      </c>
      <c r="AO284" s="854">
        <f t="shared" ref="AO284:AO288" si="311">AQ$3/AN284</f>
        <v>23.363095238095237</v>
      </c>
      <c r="AP284" s="301">
        <v>171</v>
      </c>
      <c r="AQ284" s="490">
        <f t="shared" si="298"/>
        <v>10017.581250000001</v>
      </c>
      <c r="AR284" s="76">
        <f t="shared" si="304"/>
        <v>1569.0187500000011</v>
      </c>
      <c r="AS284" s="230">
        <f t="shared" si="305"/>
        <v>65.375781250000045</v>
      </c>
      <c r="AT284" s="208">
        <f>AR284/(AVERAGE(AN284)*(AVERAGE(D$276,D$274,D$246,D$262,D$248,D$255,D$261,D$283,D$238,D$282))*AVERAGE(E$276,E$274,E$246,E$262,E$248,E$255,E$261,E$283,E$238,E$282)*0.0001)</f>
        <v>929.58765999802858</v>
      </c>
      <c r="AU284" s="966"/>
      <c r="AV284" s="230">
        <f>AR284/(AVERAGE(AN284)*AVERAGE(D$276,D$274,D$246,D$262,D$248,D$255,D$261,D$283,D$238,D$282)*0.01)</f>
        <v>715.68145659969935</v>
      </c>
      <c r="AW284" s="855">
        <f t="shared" si="221"/>
        <v>1.1104166666666675</v>
      </c>
      <c r="AX284" s="293"/>
      <c r="AY284" s="293"/>
      <c r="AZ284" s="293"/>
      <c r="BA284" s="293"/>
      <c r="BB284" s="293"/>
      <c r="BC284" s="299"/>
      <c r="BD284" s="671"/>
      <c r="BE284" s="671"/>
      <c r="BF284" s="777"/>
      <c r="BG284" s="665"/>
      <c r="BH284" s="293"/>
      <c r="BI284" s="293"/>
      <c r="BJ284" s="293"/>
      <c r="BK284" s="293"/>
      <c r="BL284" s="666"/>
      <c r="BM284" s="666"/>
      <c r="BN284" s="299"/>
      <c r="BO284" s="298"/>
      <c r="BP284" s="298"/>
      <c r="BQ284" s="298"/>
      <c r="BR284" s="293"/>
      <c r="BS284" s="671"/>
      <c r="BT284" s="293"/>
      <c r="BU284" s="675"/>
      <c r="BV284" s="665"/>
      <c r="BW284" s="293">
        <v>50.6</v>
      </c>
      <c r="BX284" s="293">
        <v>141</v>
      </c>
      <c r="BY284" s="159">
        <f t="shared" si="306"/>
        <v>32</v>
      </c>
      <c r="BZ284" s="159">
        <f t="shared" si="307"/>
        <v>23.3125</v>
      </c>
      <c r="CA284" s="301">
        <v>98</v>
      </c>
      <c r="CB284" s="490">
        <f t="shared" si="249"/>
        <v>25344.706249999999</v>
      </c>
      <c r="CC284" s="208">
        <f t="shared" si="308"/>
        <v>919.921875</v>
      </c>
      <c r="CD284" s="208">
        <f t="shared" si="309"/>
        <v>38.330078125</v>
      </c>
      <c r="CE284" s="985">
        <f>CC284/(AVERAGE(BY283,BY284)*(AVERAGE(D$276,D$274,D$246,D$262,D$248,D$255,D$261,D$283,D$238,D$282))*AVERAGE(E$276,E$274,E$246,E$262,E$248,E$255,E$261,E$283,E$238,E$282)*0.0001)</f>
        <v>732.50809981082887</v>
      </c>
      <c r="CF284" s="160"/>
      <c r="CG284" s="180">
        <f>CC284/(AVERAGE(BY284)*AVERAGE((D$276,D$274,D$246,D$262,D$248,D$255,D$261,D$283,D$238,D$282))*0.01)</f>
        <v>793.05696117110176</v>
      </c>
      <c r="CH284" s="433">
        <f t="shared" si="297"/>
        <v>1.2331392426273458</v>
      </c>
      <c r="CI284" s="293">
        <v>61.2</v>
      </c>
      <c r="CJ284" s="293">
        <v>34.200000000000003</v>
      </c>
      <c r="CK284" s="293">
        <v>0</v>
      </c>
      <c r="CL284" s="293">
        <v>84</v>
      </c>
      <c r="CM284" s="293">
        <v>175</v>
      </c>
      <c r="CN284" s="676"/>
      <c r="CP284" s="790" t="s">
        <v>6</v>
      </c>
      <c r="CQ284" s="790" t="s">
        <v>57</v>
      </c>
      <c r="CR284" s="790" t="s">
        <v>52</v>
      </c>
      <c r="CS284" s="790" t="s">
        <v>58</v>
      </c>
      <c r="CT284" s="790" t="s">
        <v>58</v>
      </c>
      <c r="CU284" s="790" t="s">
        <v>59</v>
      </c>
      <c r="CV284" s="790"/>
      <c r="CW284" s="790" t="s">
        <v>60</v>
      </c>
      <c r="CX284" s="790" t="s">
        <v>60</v>
      </c>
      <c r="CY284" s="790" t="s">
        <v>60</v>
      </c>
      <c r="CZ284" s="790" t="s">
        <v>6</v>
      </c>
      <c r="DA284" s="790" t="s">
        <v>57</v>
      </c>
      <c r="DB284" s="791" t="s">
        <v>52</v>
      </c>
      <c r="DC284" s="791" t="s">
        <v>58</v>
      </c>
      <c r="DD284" s="791" t="s">
        <v>58</v>
      </c>
      <c r="DE284" s="791" t="s">
        <v>59</v>
      </c>
      <c r="DF284" s="791" t="s">
        <v>60</v>
      </c>
      <c r="DG284" s="791" t="s">
        <v>60</v>
      </c>
      <c r="DH284" s="791" t="s">
        <v>60</v>
      </c>
    </row>
    <row r="285" spans="1:112" s="677" customFormat="1" ht="15.75" thickBot="1">
      <c r="A285" s="141">
        <f t="shared" si="292"/>
        <v>41440</v>
      </c>
      <c r="B285" s="663">
        <v>0.33333333333333298</v>
      </c>
      <c r="C285" s="304">
        <f t="shared" si="244"/>
        <v>24</v>
      </c>
      <c r="D285" s="665"/>
      <c r="E285" s="293"/>
      <c r="F285" s="293"/>
      <c r="G285" s="293"/>
      <c r="H285" s="293"/>
      <c r="I285" s="293"/>
      <c r="J285" s="666"/>
      <c r="K285" s="666"/>
      <c r="L285" s="299"/>
      <c r="M285" s="666">
        <v>60</v>
      </c>
      <c r="N285" s="293">
        <v>80</v>
      </c>
      <c r="O285" s="667"/>
      <c r="P285" s="665">
        <v>350</v>
      </c>
      <c r="Q285" s="210">
        <f>P285/((N285-M285)*N$4)</f>
        <v>3.4832802547770698</v>
      </c>
      <c r="R285" s="225">
        <f>10*Q285/(AVERAGE(D$261,D$262))</f>
        <v>11.572359650422159</v>
      </c>
      <c r="S285" s="666"/>
      <c r="T285" s="666"/>
      <c r="U285" s="666"/>
      <c r="V285" s="665"/>
      <c r="W285" s="293"/>
      <c r="X285" s="293"/>
      <c r="Y285" s="293"/>
      <c r="Z285" s="293"/>
      <c r="AA285" s="666"/>
      <c r="AB285" s="666"/>
      <c r="AC285" s="299"/>
      <c r="AD285" s="298"/>
      <c r="AE285" s="298"/>
      <c r="AF285" s="298"/>
      <c r="AG285" s="293"/>
      <c r="AH285" s="293"/>
      <c r="AI285" s="671"/>
      <c r="AJ285" s="299"/>
      <c r="AK285" s="665"/>
      <c r="AL285" s="293">
        <v>35.299999999999997</v>
      </c>
      <c r="AM285" s="293">
        <v>263</v>
      </c>
      <c r="AN285" s="853">
        <f t="shared" si="310"/>
        <v>60.480000000000004</v>
      </c>
      <c r="AO285" s="854">
        <f t="shared" si="311"/>
        <v>23.363095238095237</v>
      </c>
      <c r="AP285" s="301">
        <v>198</v>
      </c>
      <c r="AQ285" s="490">
        <f t="shared" si="298"/>
        <v>11646.946875000001</v>
      </c>
      <c r="AR285" s="76">
        <f t="shared" si="304"/>
        <v>1629.3656250000004</v>
      </c>
      <c r="AS285" s="230">
        <f t="shared" si="305"/>
        <v>67.89023437500002</v>
      </c>
      <c r="AT285" s="208">
        <f t="shared" ref="AT285:AT288" si="312">AR285/(AVERAGE(AN285)*(AVERAGE(D$276,D$274,D$246,D$262,D$248,D$255,D$261,D$283,D$238,D$282))*AVERAGE(E$276,E$274,E$246,E$262,E$248,E$255,E$261,E$283,E$238,E$282)*0.0001)</f>
        <v>965.34103153641388</v>
      </c>
      <c r="AU285" s="966"/>
      <c r="AV285" s="230">
        <f t="shared" ref="AV285:AV288" si="313">AR285/(AVERAGE(AN285)*AVERAGE(D$276,D$274,D$246,D$262,D$248,D$255,D$261,D$283,D$238,D$282)*0.01)</f>
        <v>743.20766646891821</v>
      </c>
      <c r="AW285" s="855">
        <f t="shared" si="221"/>
        <v>1.1531250000000002</v>
      </c>
      <c r="AX285" s="293"/>
      <c r="AY285" s="293"/>
      <c r="AZ285" s="293"/>
      <c r="BA285" s="293"/>
      <c r="BB285" s="293"/>
      <c r="BC285" s="299"/>
      <c r="BD285" s="671"/>
      <c r="BE285" s="671"/>
      <c r="BF285" s="666"/>
      <c r="BG285" s="665"/>
      <c r="BH285" s="293"/>
      <c r="BI285" s="293"/>
      <c r="BJ285" s="293"/>
      <c r="BK285" s="293"/>
      <c r="BL285" s="666"/>
      <c r="BM285" s="666"/>
      <c r="BN285" s="299"/>
      <c r="BO285" s="298"/>
      <c r="BP285" s="298"/>
      <c r="BQ285" s="298"/>
      <c r="BR285" s="293"/>
      <c r="BS285" s="671"/>
      <c r="BT285" s="293"/>
      <c r="BU285" s="675"/>
      <c r="BV285" s="665"/>
      <c r="BW285" s="293">
        <v>50.4</v>
      </c>
      <c r="BX285" s="293">
        <v>157</v>
      </c>
      <c r="BY285" s="159">
        <f t="shared" si="306"/>
        <v>32</v>
      </c>
      <c r="BZ285" s="159">
        <f t="shared" si="307"/>
        <v>23.3125</v>
      </c>
      <c r="CA285" s="301">
        <v>113</v>
      </c>
      <c r="CB285" s="490">
        <f t="shared" si="249"/>
        <v>26264.628124999999</v>
      </c>
      <c r="CC285" s="208">
        <f t="shared" si="308"/>
        <v>919.921875</v>
      </c>
      <c r="CD285" s="208">
        <f t="shared" si="309"/>
        <v>38.330078125</v>
      </c>
      <c r="CE285" s="985">
        <f t="shared" ref="CE285:CE288" si="314">CC285/(AVERAGE(BY284,BY285)*(AVERAGE(D$276,D$274,D$246,D$262,D$248,D$255,D$261,D$283,D$238,D$282))*AVERAGE(E$276,E$274,E$246,E$262,E$248,E$255,E$261,E$283,E$238,E$282)*0.0001)</f>
        <v>1030.0895153589781</v>
      </c>
      <c r="CF285" s="160"/>
      <c r="CG285" s="180">
        <f>CC285/(AVERAGE(BY285)*AVERAGE((D$276,D$274,D$246,D$262,D$248,D$255,D$261,D$283,D$238,D$282))*0.01)</f>
        <v>793.05696117110176</v>
      </c>
      <c r="CH285" s="433">
        <f t="shared" si="297"/>
        <v>1.2331392426273458</v>
      </c>
      <c r="CI285" s="293"/>
      <c r="CJ285" s="293"/>
      <c r="CK285" s="293"/>
      <c r="CL285" s="293"/>
      <c r="CM285" s="293"/>
      <c r="CN285" s="676"/>
      <c r="CP285" s="677" t="s">
        <v>64</v>
      </c>
      <c r="CQ285" s="793">
        <f>MIN(AR269:AR287)</f>
        <v>663.81562499998836</v>
      </c>
      <c r="CR285" s="793">
        <f>MIN(AS269:AS287)</f>
        <v>27.658984374999516</v>
      </c>
      <c r="CS285" s="793">
        <f>MIN(AT269:AT287)</f>
        <v>378.14154827261387</v>
      </c>
      <c r="CT285" s="793" t="e">
        <f>MIN(#REF!)</f>
        <v>#REF!</v>
      </c>
      <c r="CU285" s="793">
        <f>MIN(AU269:AU287)</f>
        <v>1173.6996651473078</v>
      </c>
      <c r="CV285" s="793"/>
      <c r="CW285" s="793">
        <f>MIN(AV269:AV287)</f>
        <v>292.59387360954724</v>
      </c>
      <c r="CX285" s="793" t="e">
        <f>MIN(#REF!)</f>
        <v>#REF!</v>
      </c>
      <c r="CY285" s="793" t="e">
        <f>MIN(#REF!)</f>
        <v>#REF!</v>
      </c>
      <c r="CZ285" s="793"/>
      <c r="DA285" s="793">
        <f>MIN(CC269:CC287)</f>
        <v>367.96875</v>
      </c>
      <c r="DB285" s="793">
        <f>MIN(CD269:CD287)</f>
        <v>15.33203125</v>
      </c>
      <c r="DC285" s="793">
        <f>MIN(CE269:CE287)</f>
        <v>404.44090653309559</v>
      </c>
      <c r="DD285" s="793" t="e">
        <f>MIN(#REF!)</f>
        <v>#REF!</v>
      </c>
      <c r="DE285" s="793">
        <f>MIN(CF269:CF287)</f>
        <v>1472.9912354485398</v>
      </c>
      <c r="DF285" s="793">
        <f>MIN(CG269:CG287)</f>
        <v>314.134870986012</v>
      </c>
      <c r="DG285" s="793" t="e">
        <f>MIN(#REF!)</f>
        <v>#REF!</v>
      </c>
      <c r="DH285" s="793" t="e">
        <f>MIN(#REF!)</f>
        <v>#REF!</v>
      </c>
    </row>
    <row r="286" spans="1:112" s="677" customFormat="1" ht="15.75" thickBot="1">
      <c r="A286" s="141">
        <f t="shared" si="292"/>
        <v>41441</v>
      </c>
      <c r="B286" s="663">
        <v>0.33333333333333298</v>
      </c>
      <c r="C286" s="304">
        <f t="shared" si="244"/>
        <v>24</v>
      </c>
      <c r="D286" s="665"/>
      <c r="E286" s="293"/>
      <c r="F286" s="293"/>
      <c r="G286" s="293"/>
      <c r="H286" s="293"/>
      <c r="I286" s="293"/>
      <c r="J286" s="666"/>
      <c r="K286" s="666"/>
      <c r="L286" s="299"/>
      <c r="M286" s="666">
        <v>55</v>
      </c>
      <c r="N286" s="293">
        <v>85</v>
      </c>
      <c r="O286" s="667"/>
      <c r="P286" s="773">
        <v>525</v>
      </c>
      <c r="Q286" s="210">
        <f>P286/((N286-M286)*N$4)</f>
        <v>3.4832802547770703</v>
      </c>
      <c r="R286" s="225">
        <f>10*Q286/(AVERAGE(D$261,D$262))</f>
        <v>11.572359650422161</v>
      </c>
      <c r="S286" s="666"/>
      <c r="T286" s="666"/>
      <c r="U286" s="777"/>
      <c r="V286" s="665"/>
      <c r="W286" s="293"/>
      <c r="X286" s="293"/>
      <c r="Y286" s="293"/>
      <c r="Z286" s="293"/>
      <c r="AA286" s="666"/>
      <c r="AB286" s="666"/>
      <c r="AC286" s="299"/>
      <c r="AD286" s="298"/>
      <c r="AE286" s="298"/>
      <c r="AF286" s="298"/>
      <c r="AG286" s="293"/>
      <c r="AH286" s="293"/>
      <c r="AI286" s="671"/>
      <c r="AJ286" s="299"/>
      <c r="AK286" s="665"/>
      <c r="AL286" s="293">
        <v>35.200000000000003</v>
      </c>
      <c r="AM286" s="293">
        <v>291</v>
      </c>
      <c r="AN286" s="853">
        <f t="shared" si="310"/>
        <v>60.480000000000004</v>
      </c>
      <c r="AO286" s="854">
        <f t="shared" si="311"/>
        <v>23.363095238095237</v>
      </c>
      <c r="AP286" s="301">
        <v>226</v>
      </c>
      <c r="AQ286" s="490">
        <f t="shared" si="298"/>
        <v>13336.659375000001</v>
      </c>
      <c r="AR286" s="76">
        <f t="shared" si="304"/>
        <v>1689.7124999999996</v>
      </c>
      <c r="AS286" s="230">
        <f t="shared" si="305"/>
        <v>70.40468749999998</v>
      </c>
      <c r="AT286" s="208">
        <f t="shared" si="312"/>
        <v>1001.0944030747991</v>
      </c>
      <c r="AU286" s="966"/>
      <c r="AV286" s="230">
        <f t="shared" si="313"/>
        <v>770.73387633813707</v>
      </c>
      <c r="AW286" s="855">
        <f t="shared" si="221"/>
        <v>1.1958333333333331</v>
      </c>
      <c r="AX286" s="293"/>
      <c r="AY286" s="293"/>
      <c r="AZ286" s="293"/>
      <c r="BA286" s="293"/>
      <c r="BB286" s="293"/>
      <c r="BC286" s="299"/>
      <c r="BD286" s="671"/>
      <c r="BE286" s="671"/>
      <c r="BF286" s="777"/>
      <c r="BG286" s="665"/>
      <c r="BH286" s="293"/>
      <c r="BI286" s="293"/>
      <c r="BJ286" s="293"/>
      <c r="BK286" s="293"/>
      <c r="BL286" s="666"/>
      <c r="BM286" s="666"/>
      <c r="BN286" s="299"/>
      <c r="BO286" s="298"/>
      <c r="BP286" s="298"/>
      <c r="BQ286" s="298"/>
      <c r="BR286" s="293"/>
      <c r="BS286" s="671"/>
      <c r="BT286" s="293"/>
      <c r="BU286" s="675"/>
      <c r="BV286" s="665"/>
      <c r="BW286" s="293">
        <v>50.5</v>
      </c>
      <c r="BX286" s="293">
        <v>173</v>
      </c>
      <c r="BY286" s="159">
        <f t="shared" si="306"/>
        <v>32</v>
      </c>
      <c r="BZ286" s="159">
        <f t="shared" si="307"/>
        <v>23.3125</v>
      </c>
      <c r="CA286" s="301">
        <v>131</v>
      </c>
      <c r="CB286" s="490">
        <f t="shared" si="249"/>
        <v>27368.534374999999</v>
      </c>
      <c r="CC286" s="208">
        <f t="shared" si="308"/>
        <v>1103.90625</v>
      </c>
      <c r="CD286" s="208">
        <f t="shared" si="309"/>
        <v>45.99609375</v>
      </c>
      <c r="CE286" s="985">
        <f t="shared" si="314"/>
        <v>1236.1074184307738</v>
      </c>
      <c r="CF286" s="160"/>
      <c r="CG286" s="180">
        <f>CC286/(AVERAGE(BY286)*AVERAGE((D$276,D$274,D$246,D$262,D$248,D$255,D$261,D$283,D$238,D$282))*0.01)</f>
        <v>951.66835340532214</v>
      </c>
      <c r="CH286" s="433">
        <f t="shared" si="297"/>
        <v>1.4797670911528149</v>
      </c>
      <c r="CI286" s="293"/>
      <c r="CJ286" s="293"/>
      <c r="CK286" s="293"/>
      <c r="CL286" s="293"/>
      <c r="CM286" s="293"/>
      <c r="CN286" s="676"/>
      <c r="CP286" s="794" t="s">
        <v>69</v>
      </c>
      <c r="CQ286" s="793">
        <f>AVERAGE(AR269:AR287)</f>
        <v>1143.238020833335</v>
      </c>
      <c r="CR286" s="793">
        <f>AVERAGE(AS269:AS287)</f>
        <v>47.634917534722291</v>
      </c>
      <c r="CS286" s="793">
        <f>AVERAGE(AT269:AT287)</f>
        <v>693.80458619640251</v>
      </c>
      <c r="CT286" s="793" t="e">
        <f>AVERAGE(#REF!)</f>
        <v>#REF!</v>
      </c>
      <c r="CU286" s="793">
        <f>AVERAGE(AU269:AU287)</f>
        <v>1392.5831466789944</v>
      </c>
      <c r="CV286" s="793"/>
      <c r="CW286" s="793">
        <f>AVERAGE(AV269:AV287)</f>
        <v>537.67109751427768</v>
      </c>
      <c r="CX286" s="793" t="e">
        <f>AVERAGE(#REF!)</f>
        <v>#REF!</v>
      </c>
      <c r="CY286" s="793" t="e">
        <f>AVERAGE(#REF!)</f>
        <v>#REF!</v>
      </c>
      <c r="CZ286" s="794"/>
      <c r="DA286" s="793">
        <f>AVERAGE(CC269:CC287)</f>
        <v>684.83072916666663</v>
      </c>
      <c r="DB286" s="793">
        <f>AVERAGE(CD269:CD287)</f>
        <v>28.534613715277779</v>
      </c>
      <c r="DC286" s="793">
        <f>AVERAGE(CE269:CE287)</f>
        <v>780.01287913931571</v>
      </c>
      <c r="DD286" s="793" t="e">
        <f>AVERAGE(#REF!)</f>
        <v>#REF!</v>
      </c>
      <c r="DE286" s="793">
        <f>AVERAGE(CF269:CF287)</f>
        <v>1762.4392703935673</v>
      </c>
      <c r="DF286" s="793">
        <f>AVERAGE(CG269:CG287)</f>
        <v>590.76628729608615</v>
      </c>
      <c r="DG286" s="793" t="e">
        <f>AVERAGE(#REF!)</f>
        <v>#REF!</v>
      </c>
      <c r="DH286" s="793" t="e">
        <f>AVERAGE(#REF!)</f>
        <v>#REF!</v>
      </c>
    </row>
    <row r="287" spans="1:112" s="677" customFormat="1" ht="15.75" thickBot="1">
      <c r="A287" s="141">
        <f t="shared" si="292"/>
        <v>41442</v>
      </c>
      <c r="B287" s="663">
        <v>0.33333333333333298</v>
      </c>
      <c r="C287" s="304">
        <f t="shared" si="244"/>
        <v>24</v>
      </c>
      <c r="D287" s="665"/>
      <c r="E287" s="293"/>
      <c r="F287" s="293"/>
      <c r="G287" s="293"/>
      <c r="H287" s="293"/>
      <c r="I287" s="293"/>
      <c r="J287" s="666"/>
      <c r="K287" s="666"/>
      <c r="L287" s="299"/>
      <c r="M287" s="666">
        <v>55</v>
      </c>
      <c r="N287" s="293">
        <v>85</v>
      </c>
      <c r="O287" s="667"/>
      <c r="P287" s="665">
        <v>525</v>
      </c>
      <c r="Q287" s="210">
        <f>P287/((N287-M287)*N$4)</f>
        <v>3.4832802547770703</v>
      </c>
      <c r="R287" s="225">
        <f>10*Q287/(AVERAGE(D$261,D$262))</f>
        <v>11.572359650422161</v>
      </c>
      <c r="S287" s="666"/>
      <c r="T287" s="666"/>
      <c r="U287" s="777"/>
      <c r="V287" s="665"/>
      <c r="W287" s="293"/>
      <c r="X287" s="293"/>
      <c r="Y287" s="293"/>
      <c r="Z287" s="293"/>
      <c r="AA287" s="666"/>
      <c r="AB287" s="666"/>
      <c r="AC287" s="299"/>
      <c r="AD287" s="298"/>
      <c r="AE287" s="298"/>
      <c r="AF287" s="298"/>
      <c r="AG287" s="293"/>
      <c r="AH287" s="293"/>
      <c r="AI287" s="671"/>
      <c r="AJ287" s="299"/>
      <c r="AK287" s="665"/>
      <c r="AL287" s="293">
        <v>35.299999999999997</v>
      </c>
      <c r="AM287" s="293">
        <v>319</v>
      </c>
      <c r="AN287" s="853">
        <f t="shared" si="310"/>
        <v>60.480000000000004</v>
      </c>
      <c r="AO287" s="854">
        <f t="shared" si="311"/>
        <v>23.363095238095237</v>
      </c>
      <c r="AP287" s="301">
        <v>255</v>
      </c>
      <c r="AQ287" s="490">
        <f t="shared" si="298"/>
        <v>15086.718750000002</v>
      </c>
      <c r="AR287" s="76">
        <f t="shared" si="304"/>
        <v>1750.0593750000007</v>
      </c>
      <c r="AS287" s="230">
        <f t="shared" si="305"/>
        <v>72.919140625000026</v>
      </c>
      <c r="AT287" s="208">
        <f t="shared" si="312"/>
        <v>1036.8477746131855</v>
      </c>
      <c r="AU287" s="966"/>
      <c r="AV287" s="230">
        <f t="shared" si="313"/>
        <v>798.26008620735672</v>
      </c>
      <c r="AW287" s="855">
        <f t="shared" si="221"/>
        <v>1.2385416666666671</v>
      </c>
      <c r="AX287" s="293"/>
      <c r="AY287" s="293"/>
      <c r="AZ287" s="293"/>
      <c r="BA287" s="293"/>
      <c r="BB287" s="293"/>
      <c r="BC287" s="299"/>
      <c r="BD287" s="671"/>
      <c r="BE287" s="671"/>
      <c r="BF287" s="777"/>
      <c r="BG287" s="665"/>
      <c r="BH287" s="293"/>
      <c r="BI287" s="293"/>
      <c r="BJ287" s="293"/>
      <c r="BK287" s="293"/>
      <c r="BL287" s="666"/>
      <c r="BM287" s="666"/>
      <c r="BN287" s="299"/>
      <c r="BO287" s="298"/>
      <c r="BP287" s="298"/>
      <c r="BQ287" s="298"/>
      <c r="BR287" s="293"/>
      <c r="BS287" s="671"/>
      <c r="BT287" s="293"/>
      <c r="BU287" s="675"/>
      <c r="BV287" s="665"/>
      <c r="BW287" s="293">
        <v>50.6</v>
      </c>
      <c r="BX287" s="293">
        <v>188</v>
      </c>
      <c r="BY287" s="159">
        <f t="shared" si="306"/>
        <v>30</v>
      </c>
      <c r="BZ287" s="159">
        <f t="shared" si="307"/>
        <v>24.866666666666667</v>
      </c>
      <c r="CA287" s="301">
        <v>150</v>
      </c>
      <c r="CB287" s="490">
        <f t="shared" si="249"/>
        <v>28533.768749999999</v>
      </c>
      <c r="CC287" s="208">
        <f t="shared" si="308"/>
        <v>1165.234375</v>
      </c>
      <c r="CD287" s="208">
        <f t="shared" si="309"/>
        <v>48.551432291666664</v>
      </c>
      <c r="CE287" s="985">
        <f t="shared" si="314"/>
        <v>1346.8697319102337</v>
      </c>
      <c r="CF287" s="160"/>
      <c r="CG287" s="180">
        <f>CC287/(AVERAGE(BY287)*AVERAGE((D$276,D$274,D$246,D$262,D$248,D$255,D$261,D$283,D$238,D$282))*0.01)</f>
        <v>1071.5080719822886</v>
      </c>
      <c r="CH287" s="433">
        <f>CC287/CB$3</f>
        <v>1.5619763739946382</v>
      </c>
      <c r="CI287" s="293"/>
      <c r="CJ287" s="293"/>
      <c r="CK287" s="293"/>
      <c r="CL287" s="293"/>
      <c r="CM287" s="293"/>
      <c r="CN287" s="676"/>
      <c r="CP287" s="677" t="s">
        <v>66</v>
      </c>
      <c r="CQ287" s="793">
        <f>MAX(AR269:AR287)</f>
        <v>1750.0593750000007</v>
      </c>
      <c r="CR287" s="793">
        <f>MAX(AS269:AS287)</f>
        <v>72.919140625000026</v>
      </c>
      <c r="CS287" s="793">
        <f>MAX(AT269:AT287)</f>
        <v>1036.8477746131855</v>
      </c>
      <c r="CT287" s="793" t="e">
        <f>MAX(#REF!)</f>
        <v>#REF!</v>
      </c>
      <c r="CU287" s="793">
        <f>MAX(AU269:AU287)</f>
        <v>1584.7017019424275</v>
      </c>
      <c r="CV287" s="793"/>
      <c r="CW287" s="793">
        <f>MAX(AV269:AV287)</f>
        <v>798.26008620735672</v>
      </c>
      <c r="CX287" s="793" t="e">
        <f>MAX(#REF!)</f>
        <v>#REF!</v>
      </c>
      <c r="CY287" s="793" t="e">
        <f>MAX(#REF!)</f>
        <v>#REF!</v>
      </c>
      <c r="CZ287" s="793"/>
      <c r="DA287" s="793">
        <f>MAX(CC269:CC287)</f>
        <v>1165.234375</v>
      </c>
      <c r="DB287" s="793">
        <f>MAX(CD269:CD287)</f>
        <v>48.551432291666664</v>
      </c>
      <c r="DC287" s="793">
        <f>MAX(CE269:CE287)</f>
        <v>1346.8697319102337</v>
      </c>
      <c r="DD287" s="793" t="e">
        <f>MAX(#REF!)</f>
        <v>#REF!</v>
      </c>
      <c r="DE287" s="793">
        <f>MAX(CF269:CF287)</f>
        <v>2149.5597387030621</v>
      </c>
      <c r="DF287" s="793">
        <f>MAX(CG269:CG287)</f>
        <v>1071.5080719822886</v>
      </c>
      <c r="DG287" s="793" t="e">
        <f>MAX(#REF!)</f>
        <v>#REF!</v>
      </c>
      <c r="DH287" s="793" t="e">
        <f>MAX(#REF!)</f>
        <v>#REF!</v>
      </c>
    </row>
    <row r="288" spans="1:112" s="677" customFormat="1" ht="15">
      <c r="A288" s="141">
        <f t="shared" si="292"/>
        <v>41443</v>
      </c>
      <c r="B288" s="663">
        <v>0.33333333333333298</v>
      </c>
      <c r="C288" s="304">
        <f t="shared" si="244"/>
        <v>24</v>
      </c>
      <c r="D288" s="665"/>
      <c r="E288" s="293"/>
      <c r="F288" s="293"/>
      <c r="G288" s="293"/>
      <c r="H288" s="293"/>
      <c r="I288" s="293"/>
      <c r="J288" s="666"/>
      <c r="K288" s="666"/>
      <c r="L288" s="299"/>
      <c r="M288" s="666"/>
      <c r="N288" s="293"/>
      <c r="O288" s="667"/>
      <c r="P288" s="665"/>
      <c r="Q288" s="210"/>
      <c r="R288" s="225"/>
      <c r="S288" s="666"/>
      <c r="T288" s="666"/>
      <c r="U288" s="777"/>
      <c r="V288" s="665"/>
      <c r="W288" s="293"/>
      <c r="X288" s="293"/>
      <c r="Y288" s="293"/>
      <c r="Z288" s="293"/>
      <c r="AA288" s="666"/>
      <c r="AB288" s="666"/>
      <c r="AC288" s="299"/>
      <c r="AD288" s="298"/>
      <c r="AE288" s="298"/>
      <c r="AF288" s="298"/>
      <c r="AG288" s="293"/>
      <c r="AH288" s="293"/>
      <c r="AI288" s="671"/>
      <c r="AJ288" s="299"/>
      <c r="AK288" s="665"/>
      <c r="AL288" s="293">
        <v>35.1</v>
      </c>
      <c r="AM288" s="293">
        <v>347</v>
      </c>
      <c r="AN288" s="853">
        <f t="shared" si="310"/>
        <v>60.480000000000004</v>
      </c>
      <c r="AO288" s="854">
        <f t="shared" si="311"/>
        <v>23.363095238095237</v>
      </c>
      <c r="AP288" s="301">
        <v>282</v>
      </c>
      <c r="AQ288" s="490">
        <f t="shared" si="298"/>
        <v>16716.084375000002</v>
      </c>
      <c r="AR288" s="76">
        <f t="shared" si="304"/>
        <v>1629.3656250000004</v>
      </c>
      <c r="AS288" s="230">
        <f t="shared" si="305"/>
        <v>67.89023437500002</v>
      </c>
      <c r="AT288" s="208">
        <f t="shared" si="312"/>
        <v>965.34103153641388</v>
      </c>
      <c r="AU288" s="966"/>
      <c r="AV288" s="230">
        <f t="shared" si="313"/>
        <v>743.20766646891821</v>
      </c>
      <c r="AW288" s="855">
        <f t="shared" si="221"/>
        <v>1.1531250000000002</v>
      </c>
      <c r="AX288" s="293"/>
      <c r="AY288" s="293"/>
      <c r="AZ288" s="293"/>
      <c r="BA288" s="293"/>
      <c r="BB288" s="293"/>
      <c r="BC288" s="299"/>
      <c r="BD288" s="671"/>
      <c r="BE288" s="671"/>
      <c r="BF288" s="777"/>
      <c r="BG288" s="665"/>
      <c r="BH288" s="293"/>
      <c r="BI288" s="293"/>
      <c r="BJ288" s="293"/>
      <c r="BK288" s="293"/>
      <c r="BL288" s="666"/>
      <c r="BM288" s="666"/>
      <c r="BN288" s="299"/>
      <c r="BO288" s="298"/>
      <c r="BP288" s="298"/>
      <c r="BQ288" s="298"/>
      <c r="BR288" s="293"/>
      <c r="BS288" s="671"/>
      <c r="BT288" s="293"/>
      <c r="BU288" s="675"/>
      <c r="BV288" s="665"/>
      <c r="BW288" s="293">
        <v>50.6</v>
      </c>
      <c r="BX288" s="293">
        <v>204</v>
      </c>
      <c r="BY288" s="159">
        <f t="shared" si="306"/>
        <v>32</v>
      </c>
      <c r="BZ288" s="159">
        <f t="shared" si="307"/>
        <v>23.3125</v>
      </c>
      <c r="CA288" s="301">
        <v>166</v>
      </c>
      <c r="CB288" s="301">
        <f t="shared" si="249"/>
        <v>29515.018749999999</v>
      </c>
      <c r="CC288" s="208">
        <f t="shared" si="308"/>
        <v>981.25</v>
      </c>
      <c r="CD288" s="208">
        <f t="shared" si="309"/>
        <v>40.885416666666664</v>
      </c>
      <c r="CE288" s="985">
        <f t="shared" si="314"/>
        <v>1134.2060900296706</v>
      </c>
      <c r="CF288" s="160"/>
      <c r="CG288" s="180">
        <f>CC288/(AVERAGE(BY288)*AVERAGE((D$276,D$274,D$246,D$262,D$248,D$255,D$261,D$283,D$238,D$282))*0.01)</f>
        <v>845.92742524917514</v>
      </c>
      <c r="CH288" s="433">
        <f t="shared" si="297"/>
        <v>1.3153485254691688</v>
      </c>
      <c r="CI288" s="293"/>
      <c r="CJ288" s="293"/>
      <c r="CK288" s="293"/>
      <c r="CL288" s="293"/>
      <c r="CM288" s="293"/>
      <c r="CN288" s="676"/>
      <c r="CQ288" s="806"/>
      <c r="CR288" s="806"/>
      <c r="CS288" s="806"/>
      <c r="CT288" s="806"/>
      <c r="CU288" s="806"/>
      <c r="CV288" s="806"/>
      <c r="CW288" s="806"/>
      <c r="CX288" s="806"/>
      <c r="CY288" s="806"/>
      <c r="CZ288" s="806"/>
      <c r="DA288" s="806"/>
      <c r="DB288" s="806"/>
      <c r="DC288" s="806"/>
      <c r="DD288" s="806"/>
      <c r="DE288" s="806"/>
      <c r="DF288" s="806"/>
    </row>
    <row r="289" spans="1:92" s="337" customFormat="1" ht="15">
      <c r="A289" s="309">
        <f t="shared" si="292"/>
        <v>41444</v>
      </c>
      <c r="B289" s="310">
        <v>0.33333333333333298</v>
      </c>
      <c r="C289" s="311">
        <f t="shared" si="244"/>
        <v>24</v>
      </c>
      <c r="D289" s="339">
        <v>3.5</v>
      </c>
      <c r="E289" s="365">
        <v>76.400000000000006</v>
      </c>
      <c r="F289" s="313"/>
      <c r="G289" s="319">
        <v>4.9800000000000004</v>
      </c>
      <c r="H289" s="319"/>
      <c r="I289" s="313"/>
      <c r="J289" s="315"/>
      <c r="K289" s="315"/>
      <c r="L289" s="320"/>
      <c r="M289" s="317">
        <v>35</v>
      </c>
      <c r="N289" s="319">
        <v>85</v>
      </c>
      <c r="O289" s="472"/>
      <c r="P289" s="318">
        <v>2100</v>
      </c>
      <c r="Q289" s="764">
        <f>P289/((N289-M289)*N$4)</f>
        <v>8.3598726114649686</v>
      </c>
      <c r="R289" s="765">
        <f>10*Q289/(AVERAGE(D$261,D$262))</f>
        <v>27.773663161013186</v>
      </c>
      <c r="S289" s="317"/>
      <c r="T289" s="317"/>
      <c r="U289" s="757"/>
      <c r="V289" s="339">
        <v>2.2999999999999998</v>
      </c>
      <c r="W289" s="365">
        <v>63.6</v>
      </c>
      <c r="X289" s="348"/>
      <c r="Y289" s="319"/>
      <c r="Z289" s="319"/>
      <c r="AA289" s="317"/>
      <c r="AB289" s="317"/>
      <c r="AC289" s="320"/>
      <c r="AD289" s="752">
        <f>D283*(100-E283)/(100-W289)</f>
        <v>3.1634615384615388</v>
      </c>
      <c r="AE289" s="753">
        <f>D283-V289</f>
        <v>2.6000000000000005</v>
      </c>
      <c r="AF289" s="864">
        <f>100*(AVERAGE(D$276,D$274,D$246,D$262,D$248,D$255,D$261,D$283,D$289,D$282)-V289)/AVERAGE(D$276,D$274,D$246,D$262,D$248,D$255,D$261,D$283,D$289,D$282)</f>
        <v>35.644617558828365</v>
      </c>
      <c r="AG289" s="864">
        <f>100*(1-((100-AVERAGE(E$276,E$274,E$246,E$262,E$248,E$255,E$261,E$283,E$289,E$282))/(100-W289)))</f>
        <v>36.297061793067044</v>
      </c>
      <c r="AH289" s="753">
        <f>E283-W289</f>
        <v>12.899999999999999</v>
      </c>
      <c r="AI289" s="847">
        <f>100*(1-((V289*W289)/(AVERAGE(D$276,D$274,D$246,D$262,D$248,D$255,D$261,D$283,D$289,D$282)*AVERAGE(E$276,E$274,E$246,E$262,E$248,E$255,E$261,E$283,E$289,E$282))))</f>
        <v>46.714115374670406</v>
      </c>
      <c r="AJ289" s="847">
        <f>100*100*((AVERAGE(E$276,E$274,E$246,E$262,E$248,E$255,E$261,E$283,E$289,E$282)-W289)/((100-W289)*AVERAGE(E$276,E$274,E$246,E$262,E$248,E$255,E$261,E$283,E$289,E$282)))</f>
        <v>47.254335428865311</v>
      </c>
      <c r="AK289" s="909">
        <v>7</v>
      </c>
      <c r="AL289" s="319">
        <v>35.299999999999997</v>
      </c>
      <c r="AM289" s="319">
        <v>375</v>
      </c>
      <c r="AN289" s="846">
        <f>(AM289-AM288)*AQ$1/((C288)/24)</f>
        <v>60.480000000000004</v>
      </c>
      <c r="AO289" s="847">
        <f t="shared" ref="AO289:AO296" si="315">AQ$3/AN289</f>
        <v>23.363095238095237</v>
      </c>
      <c r="AP289" s="313">
        <v>307</v>
      </c>
      <c r="AQ289" s="490">
        <f t="shared" si="298"/>
        <v>18224.756250000002</v>
      </c>
      <c r="AR289" s="348">
        <f t="shared" ref="AR289:AR308" si="316">(AQ289-AQ288)/(C289/24)</f>
        <v>1508.671875</v>
      </c>
      <c r="AS289" s="512">
        <f t="shared" ref="AS289:AS308" si="317">(AQ289-AQ288)/C289</f>
        <v>62.861328125</v>
      </c>
      <c r="AT289" s="334">
        <f>AR289/(AVERAGE(AN289)*(AVERAGE(D$276,D$274,D$246,D$262,D$248,D$255,D$261,D$283,D$289,D$282))*AVERAGE(E$276,E$274,E$246,E$262,E$248,E$255,E$261,E$283,E$289,E$282)*0.0001)</f>
        <v>908.67847427409708</v>
      </c>
      <c r="AU289" s="348">
        <f>(AQ289-AQ283)/(AVERAGE(AN283:AN289)*((AVERAGE(D$276,D$274,D$246,D$262,D$248,D$255,D$261,D$283,D$289,D$282)*AVERAGE(E$276,E$274,E$246,E$262,E$248,E$255,E$261,E$283,E$289,E$282))-(V289*W289))*0.0001*(SUM(C283:C289)/24))</f>
        <v>1800.6905150829427</v>
      </c>
      <c r="AV289" s="512">
        <f>AR289/(AVERAGE(AN289)*AVERAGE(D$276,D$274,D$246,D$262,D$248,D$255,D$261,D$283,D$289,D$282)*0.01)</f>
        <v>697.97529541828044</v>
      </c>
      <c r="AW289" s="848">
        <f t="shared" si="221"/>
        <v>1.0677083333333333</v>
      </c>
      <c r="AX289" s="319">
        <v>65.7</v>
      </c>
      <c r="AY289" s="319">
        <v>32.1</v>
      </c>
      <c r="AZ289" s="319">
        <v>0</v>
      </c>
      <c r="BA289" s="319">
        <v>105</v>
      </c>
      <c r="BB289" s="319">
        <v>80</v>
      </c>
      <c r="BC289" s="320"/>
      <c r="BD289" s="368"/>
      <c r="BE289" s="368"/>
      <c r="BF289" s="757"/>
      <c r="BG289" s="339">
        <v>2.4</v>
      </c>
      <c r="BH289" s="365">
        <v>61.8</v>
      </c>
      <c r="BI289" s="348"/>
      <c r="BJ289" s="319"/>
      <c r="BK289" s="348"/>
      <c r="BL289" s="315"/>
      <c r="BM289" s="315"/>
      <c r="BN289" s="320"/>
      <c r="BO289" s="859">
        <f>D283*(100-E283)/(100-BH289)</f>
        <v>3.0143979057591621</v>
      </c>
      <c r="BP289" s="753">
        <f>D283-BG289</f>
        <v>2.5000000000000004</v>
      </c>
      <c r="BQ289" s="860">
        <f>100*(AVERAGE(D$276,D$274,D$246,D$262,D$248,D$255,D$261,D$283,D$289,D$282)-BG289)/AVERAGE(D$276,D$274,D$246,D$262,D$248,D$255,D$261,D$283,D$289,D$282)</f>
        <v>32.846557452690469</v>
      </c>
      <c r="BR289" s="861">
        <f>100*(1-((100-AVERAGE(E$276,E$274,E$246,E$262,E$248,E$255,E$261,E$283,E$289,E$282))/(100-BH289)))</f>
        <v>39.29877092323666</v>
      </c>
      <c r="BS289" s="858">
        <f>E283-BH289</f>
        <v>14.700000000000003</v>
      </c>
      <c r="BT289" s="862">
        <f>100*(1-((BG289*BH289)/(AVERAGE(D$276,D$274,D$246,D$262,D$248,D$255,D$261,D$283,D$289,D$282)*AVERAGE(E$276,E$274,E$246,E$262,E$248,E$255,E$261,E$283,E$289,E$282))))</f>
        <v>45.97099803371011</v>
      </c>
      <c r="BU289" s="863">
        <f>100*100*((AVERAGE(E$276,E$274,E$246,E$262,E$248,E$255,E$261,E$283,E$289,E$282)-BH289)/((100-BH289)*AVERAGE(E$276,E$274,E$246,E$262,E$248,E$255,E$261,E$283,E$289,E$282)))</f>
        <v>51.162193615998682</v>
      </c>
      <c r="BV289" s="318">
        <v>7.27</v>
      </c>
      <c r="BW289" s="319">
        <v>50.5</v>
      </c>
      <c r="BX289" s="319">
        <v>220</v>
      </c>
      <c r="BY289" s="462">
        <f t="shared" ref="BY289:BY296" si="318">(BX289-BX288)*CB$1/((C289)/24)</f>
        <v>32</v>
      </c>
      <c r="BZ289" s="462">
        <f t="shared" ref="BZ289:BZ296" si="319">CB$3/BY289</f>
        <v>23.3125</v>
      </c>
      <c r="CA289" s="313">
        <v>181</v>
      </c>
      <c r="CB289" s="348">
        <f t="shared" si="249"/>
        <v>30434.940624999999</v>
      </c>
      <c r="CC289" s="334">
        <f t="shared" ref="CC289:CC308" si="320">(CB289-CB288)/((C289/24))</f>
        <v>919.921875</v>
      </c>
      <c r="CD289" s="334">
        <f t="shared" ref="CD289:CD308" si="321">(CB289-CB288)/(C289)</f>
        <v>38.330078125</v>
      </c>
      <c r="CE289" s="984">
        <f>CC289/(AVERAGE(BY288,BY289)*(AVERAGE(D$276,D$274,D$246,D$262,D$248,D$255,D$261,D$283,D$289,D$282))*AVERAGE(E$276,E$274,E$246,E$262,E$248,E$255,E$261,E$283,E$289,E$282)*0.0001)</f>
        <v>1047.1965343768557</v>
      </c>
      <c r="CF289" s="313">
        <f>(CB289-CB283)/(AVERAGE(BY283:BY289)*((AVERAGE(D$276,D$274,D$246,D$262,D$248,D$255,D$261,D$283,D$289,D$282)*AVERAGE(E$276,E$274,E$246,E$262,E$248,E$255,E$261,E$283,E$289,E$282))-(BG289*BH289))*0.0001*(SUM(C283:C289)/24))</f>
        <v>1920.3366827279465</v>
      </c>
      <c r="CG289" s="441">
        <f>CC289/(AVERAGE(BY289)*AVERAGE((D$276,D$274,D$246,D$262,D$248,D$255,D$261,D$283,D$289,D$282))*0.01)</f>
        <v>804.37396850033554</v>
      </c>
      <c r="CH289" s="477">
        <f t="shared" si="297"/>
        <v>1.2331392426273458</v>
      </c>
      <c r="CI289" s="319">
        <v>65.5</v>
      </c>
      <c r="CJ289" s="319">
        <v>33.200000000000003</v>
      </c>
      <c r="CK289" s="319">
        <v>0</v>
      </c>
      <c r="CL289" s="319">
        <v>192</v>
      </c>
      <c r="CM289" s="319">
        <v>200</v>
      </c>
      <c r="CN289" s="442"/>
    </row>
    <row r="290" spans="1:92" s="337" customFormat="1" ht="15">
      <c r="A290" s="309">
        <f t="shared" si="292"/>
        <v>41445</v>
      </c>
      <c r="B290" s="310">
        <v>0.33333333333333298</v>
      </c>
      <c r="C290" s="311">
        <f t="shared" si="244"/>
        <v>24</v>
      </c>
      <c r="D290" s="318">
        <v>4</v>
      </c>
      <c r="E290" s="319">
        <v>78.7</v>
      </c>
      <c r="F290" s="319">
        <v>52300</v>
      </c>
      <c r="G290" s="319"/>
      <c r="H290" s="319">
        <v>43.5</v>
      </c>
      <c r="I290" s="319">
        <v>8197</v>
      </c>
      <c r="J290" s="317">
        <v>4229</v>
      </c>
      <c r="K290" s="317">
        <v>30.5</v>
      </c>
      <c r="L290" s="320">
        <v>206</v>
      </c>
      <c r="M290" s="317"/>
      <c r="N290" s="319"/>
      <c r="O290" s="472"/>
      <c r="P290" s="763"/>
      <c r="Q290" s="764"/>
      <c r="R290" s="765"/>
      <c r="S290" s="317"/>
      <c r="T290" s="317"/>
      <c r="U290" s="757"/>
      <c r="V290" s="318">
        <v>2.4</v>
      </c>
      <c r="W290" s="319">
        <v>63.1</v>
      </c>
      <c r="X290" s="319">
        <v>26000</v>
      </c>
      <c r="Y290" s="319">
        <v>36.9</v>
      </c>
      <c r="Z290" s="319">
        <v>2849</v>
      </c>
      <c r="AA290" s="317">
        <v>1013</v>
      </c>
      <c r="AB290" s="317">
        <v>65.8</v>
      </c>
      <c r="AC290" s="320">
        <v>118</v>
      </c>
      <c r="AD290" s="752">
        <f>D289*(100-E289)/(100-W290)</f>
        <v>2.2384823848238478</v>
      </c>
      <c r="AE290" s="753">
        <f>D289-V290</f>
        <v>1.1000000000000001</v>
      </c>
      <c r="AF290" s="864">
        <f>100*(AVERAGE(D$276,D$274,D$290,D$262,D$248,D$255,D$261,D$283,D$289,D$282)-V290)/AVERAGE(D$276,D$274,D$290,D$262,D$248,D$255,D$261,D$283,D$289,D$282)</f>
        <v>34.174437739989024</v>
      </c>
      <c r="AG290" s="864">
        <f>100*(1-((100-AVERAGE(E$276,E$274,E$290,E$262,E$248,E$255,E$261,E$283,E$289,E$282))/(100-W290)))</f>
        <v>35.718157181571819</v>
      </c>
      <c r="AH290" s="753">
        <f>E289-W290</f>
        <v>13.300000000000004</v>
      </c>
      <c r="AI290" s="847">
        <f>100*(1-((V290*W290)/(AVERAGE(D$276,D$274,D$290,D$262,D$248,D$255,D$261,D$283,D$289,D$282)*AVERAGE(E$276,E$274,E$290,E$262,E$248,E$255,E$261,E$283,E$289,E$282))))</f>
        <v>45.548073169812632</v>
      </c>
      <c r="AJ290" s="847">
        <f>100*100*((AVERAGE(E$276,E$274,E$290,E$262,E$248,E$255,E$261,E$283,E$289,E$282)-W290)/((100-W290)*AVERAGE(E$276,E$274,E$290,E$262,E$248,E$255,E$261,E$283,E$289,E$282)))</f>
        <v>46.825061853135573</v>
      </c>
      <c r="AK290" s="318"/>
      <c r="AL290" s="319">
        <v>35.299999999999997</v>
      </c>
      <c r="AM290" s="319">
        <v>403</v>
      </c>
      <c r="AN290" s="846">
        <f t="shared" ref="AN290:AN294" si="322">(AM290-AM289)*AQ$1/((C289)/24)</f>
        <v>60.480000000000004</v>
      </c>
      <c r="AO290" s="847">
        <f t="shared" si="315"/>
        <v>23.363095238095237</v>
      </c>
      <c r="AP290" s="313">
        <v>330</v>
      </c>
      <c r="AQ290" s="490">
        <f t="shared" si="298"/>
        <v>19612.734375</v>
      </c>
      <c r="AR290" s="348">
        <f t="shared" si="316"/>
        <v>1387.9781249999978</v>
      </c>
      <c r="AS290" s="512">
        <f t="shared" si="317"/>
        <v>57.832421874999909</v>
      </c>
      <c r="AT290" s="334">
        <f>AR290/(AVERAGE(AN290)*(AVERAGE(D$276,D$274,D$290,D$262,D$248,D$255,D$261,D$283,D$289,D$282))*AVERAGE(E$276,E$274,E$290,E$262,E$248,E$255,E$261,E$283,E$289,E$282)*0.0001)</f>
        <v>825.1701140873073</v>
      </c>
      <c r="AU290" s="348">
        <f>(AQ290-AQ284)/(AVERAGE(AN284:AN290)*((AVERAGE(D$276,D$274,D$290,D$262,D$248,D$255,D$261,D$283,D$289,D$282)*AVERAGE(E$276,E$274,E$290,E$262,E$248,E$255,E$261,E$283,E$289,E$282))-(V290*W290))*0.0001*(SUM(C284:C290)/24))</f>
        <v>1789.1416627563478</v>
      </c>
      <c r="AV290" s="512">
        <f>AR290/(AVERAGE(AN290)*AVERAGE(D$276,D$274,D$290,D$262,D$248,D$255,D$261,D$283,D$289,D$282)*0.01)</f>
        <v>629.43976302579813</v>
      </c>
      <c r="AW290" s="848">
        <f t="shared" si="221"/>
        <v>0.98229166666666512</v>
      </c>
      <c r="AX290" s="319"/>
      <c r="AY290" s="319"/>
      <c r="AZ290" s="319"/>
      <c r="BA290" s="319"/>
      <c r="BB290" s="319"/>
      <c r="BC290" s="320"/>
      <c r="BD290" s="368"/>
      <c r="BE290" s="368"/>
      <c r="BF290" s="757"/>
      <c r="BG290" s="318">
        <v>2.5</v>
      </c>
      <c r="BH290" s="319">
        <v>62.3</v>
      </c>
      <c r="BI290" s="319">
        <v>26200</v>
      </c>
      <c r="BJ290" s="319">
        <v>35.9</v>
      </c>
      <c r="BK290" s="319">
        <v>2510</v>
      </c>
      <c r="BL290" s="317">
        <v>520</v>
      </c>
      <c r="BM290" s="317">
        <v>79.599999999999994</v>
      </c>
      <c r="BN290" s="320">
        <v>94.9</v>
      </c>
      <c r="BO290" s="859">
        <f>D289*(100-E289)/(100-BH290)</f>
        <v>2.1909814323607422</v>
      </c>
      <c r="BP290" s="753">
        <f>D289-BG290</f>
        <v>1</v>
      </c>
      <c r="BQ290" s="860">
        <f>100*(AVERAGE(D$276,D$274,D$290,D$262,D$248,D$255,D$261,D$283,D$289,D$282)-BG290)/AVERAGE(D$276,D$274,D$290,D$262,D$248,D$255,D$261,D$283,D$289,D$282)</f>
        <v>31.431705979155229</v>
      </c>
      <c r="BR290" s="861">
        <f>100*(1-((100-AVERAGE(E$276,E$274,E$290,E$262,E$248,E$255,E$261,E$283,E$289,E$282))/(100-BH290)))</f>
        <v>37.08222811671088</v>
      </c>
      <c r="BS290" s="858">
        <f>E289-BH290</f>
        <v>14.100000000000009</v>
      </c>
      <c r="BT290" s="862">
        <f>100*(1-((BG290*BH290)/(AVERAGE(D$276,D$274,D$290,D$262,D$248,D$255,D$261,D$283,D$289,D$282)*AVERAGE(E$276,E$274,E$290,E$262,E$248,E$255,E$261,E$283,E$289,E$282))))</f>
        <v>43.998365003950859</v>
      </c>
      <c r="BU290" s="863">
        <f>100*100*((AVERAGE(E$276,E$274,E$290,E$262,E$248,E$255,E$261,E$283,E$289,E$282)-BH290)/((100-BH290)*AVERAGE(E$276,E$274,E$290,E$262,E$248,E$255,E$261,E$283,E$289,E$282)))</f>
        <v>48.613303771251815</v>
      </c>
      <c r="BV290" s="318"/>
      <c r="BW290" s="319">
        <v>50.6</v>
      </c>
      <c r="BX290" s="319">
        <v>236</v>
      </c>
      <c r="BY290" s="462">
        <f t="shared" si="318"/>
        <v>32</v>
      </c>
      <c r="BZ290" s="462">
        <f t="shared" si="319"/>
        <v>23.3125</v>
      </c>
      <c r="CA290" s="313">
        <v>196</v>
      </c>
      <c r="CB290" s="348">
        <f t="shared" si="249"/>
        <v>31354.862499999999</v>
      </c>
      <c r="CC290" s="334">
        <f t="shared" si="320"/>
        <v>919.921875</v>
      </c>
      <c r="CD290" s="334">
        <f t="shared" si="321"/>
        <v>38.330078125</v>
      </c>
      <c r="CE290" s="984">
        <f>CC290/(AVERAGE(BY289,BY290)*(AVERAGE(D$276,D$274,D$290,D$262,D$248,D$255,D$261,D$283,D$289,D$282))*AVERAGE(E$276,E$274,E$290,E$262,E$248,E$255,E$261,E$283,E$289,E$282)*0.0001)</f>
        <v>1033.6502622117002</v>
      </c>
      <c r="CF290" s="313">
        <f>(CB290-CB284)/(AVERAGE(BY284:BY290)*((AVERAGE(D$276,D$274,D$290,D$262,D$248,D$255,D$261,D$283,D$289,D$282)*AVERAGE(E$276,E$274,E$290,E$262,E$248,E$255,E$261,E$283,E$289,E$282))-(BG290*BH290))*0.0001*(SUM(C284:C290)/24))</f>
        <v>2212.4267531296787</v>
      </c>
      <c r="CG290" s="441">
        <f>CC290/(AVERAGE(BY290)*AVERAGE((D$276,D$274,D$290,D$262,D$248,D$255,D$261,D$283,D$289,D$282))*0.01)</f>
        <v>788.46842001508514</v>
      </c>
      <c r="CH290" s="477">
        <f t="shared" si="297"/>
        <v>1.2331392426273458</v>
      </c>
      <c r="CI290" s="319"/>
      <c r="CJ290" s="319"/>
      <c r="CK290" s="319"/>
      <c r="CL290" s="319"/>
      <c r="CM290" s="319"/>
      <c r="CN290" s="442"/>
    </row>
    <row r="291" spans="1:92" s="677" customFormat="1" ht="15.75" thickBot="1">
      <c r="A291" s="141">
        <f t="shared" si="292"/>
        <v>41446</v>
      </c>
      <c r="B291" s="663">
        <v>0.33333333333333298</v>
      </c>
      <c r="C291" s="304">
        <f t="shared" si="244"/>
        <v>24</v>
      </c>
      <c r="D291" s="796"/>
      <c r="E291" s="797"/>
      <c r="F291" s="797"/>
      <c r="G291" s="797"/>
      <c r="H291" s="797"/>
      <c r="I291" s="797"/>
      <c r="J291" s="798"/>
      <c r="K291" s="798"/>
      <c r="L291" s="799"/>
      <c r="M291" s="798">
        <v>55</v>
      </c>
      <c r="N291" s="797">
        <v>85</v>
      </c>
      <c r="O291" s="800"/>
      <c r="P291" s="773" t="s">
        <v>156</v>
      </c>
      <c r="Q291" s="774"/>
      <c r="R291" s="775"/>
      <c r="S291" s="807"/>
      <c r="T291" s="807"/>
      <c r="U291" s="808"/>
      <c r="V291" s="796"/>
      <c r="W291" s="797"/>
      <c r="X291" s="797"/>
      <c r="Y291" s="797"/>
      <c r="Z291" s="797"/>
      <c r="AA291" s="798"/>
      <c r="AB291" s="798"/>
      <c r="AC291" s="799"/>
      <c r="AD291" s="957"/>
      <c r="AE291" s="957"/>
      <c r="AF291" s="957"/>
      <c r="AG291" s="958"/>
      <c r="AH291" s="958"/>
      <c r="AI291" s="959"/>
      <c r="AJ291" s="960"/>
      <c r="AK291" s="796"/>
      <c r="AL291" s="797">
        <v>35.200000000000003</v>
      </c>
      <c r="AM291" s="797">
        <v>411</v>
      </c>
      <c r="AN291" s="853">
        <f t="shared" si="322"/>
        <v>17.28</v>
      </c>
      <c r="AO291" s="854">
        <f t="shared" si="315"/>
        <v>81.770833333333329</v>
      </c>
      <c r="AP291" s="803">
        <v>347</v>
      </c>
      <c r="AQ291" s="490">
        <f t="shared" si="298"/>
        <v>20638.631250000002</v>
      </c>
      <c r="AR291" s="76">
        <f t="shared" si="316"/>
        <v>1025.8968750000022</v>
      </c>
      <c r="AS291" s="230">
        <f t="shared" si="317"/>
        <v>42.745703125000091</v>
      </c>
      <c r="AT291" s="208">
        <f>AR291/(AVERAGE(AN290:AN291)*(AVERAGE(D$276,D$274,D$290,D$262,D$248,D$255,D$261,D$283,D$289,D$282))*AVERAGE(E$276,E$274,E$290,E$262,E$248,E$255,E$261,E$283,E$289,E$282)*0.0001)</f>
        <v>948.74631474772912</v>
      </c>
      <c r="AU291" s="585"/>
      <c r="AV291" s="230">
        <f>AR291/(AVERAGE(AN290:AN291)*AVERAGE(D$276,D$274,D$290,D$262,D$248,D$255,D$261,D$283,D$289,D$282)*0.01)</f>
        <v>723.70368888956773</v>
      </c>
      <c r="AW291" s="855">
        <f t="shared" ref="AW291:AW354" si="323">AR291/AQ$3</f>
        <v>0.72604166666666825</v>
      </c>
      <c r="AX291" s="797"/>
      <c r="AY291" s="797"/>
      <c r="AZ291" s="797"/>
      <c r="BA291" s="797"/>
      <c r="BB291" s="797"/>
      <c r="BC291" s="799"/>
      <c r="BD291" s="809"/>
      <c r="BE291" s="809"/>
      <c r="BF291" s="808"/>
      <c r="BG291" s="796"/>
      <c r="BH291" s="797"/>
      <c r="BI291" s="797"/>
      <c r="BJ291" s="797"/>
      <c r="BK291" s="797"/>
      <c r="BL291" s="798"/>
      <c r="BM291" s="798"/>
      <c r="BN291" s="799"/>
      <c r="BO291" s="802"/>
      <c r="BP291" s="802"/>
      <c r="BQ291" s="802"/>
      <c r="BR291" s="797"/>
      <c r="BS291" s="795"/>
      <c r="BT291" s="797"/>
      <c r="BU291" s="801"/>
      <c r="BV291" s="796"/>
      <c r="BW291" s="797">
        <v>50.7</v>
      </c>
      <c r="BX291" s="797">
        <v>251</v>
      </c>
      <c r="BY291" s="159">
        <f t="shared" si="318"/>
        <v>30</v>
      </c>
      <c r="BZ291" s="159">
        <f t="shared" si="319"/>
        <v>24.866666666666667</v>
      </c>
      <c r="CA291" s="803">
        <v>211</v>
      </c>
      <c r="CB291" s="804">
        <f t="shared" si="249"/>
        <v>32274.784374999999</v>
      </c>
      <c r="CC291" s="208">
        <f t="shared" si="320"/>
        <v>919.921875</v>
      </c>
      <c r="CD291" s="208">
        <f t="shared" si="321"/>
        <v>38.330078125</v>
      </c>
      <c r="CE291" s="985">
        <f t="shared" ref="CE291:CE295" si="324">CC291/(AVERAGE(BY290,BY291)*(AVERAGE(D$276,D$274,D$290,D$262,D$248,D$255,D$261,D$283,D$289,D$282))*AVERAGE(E$276,E$274,E$290,E$262,E$248,E$255,E$261,E$283,E$289,E$282)*0.0001)</f>
        <v>1066.9938190572393</v>
      </c>
      <c r="CF291" s="180"/>
      <c r="CG291" s="180">
        <f>CC291/(AVERAGE(BY291)*AVERAGE((D$276,D$274,D$290,D$262,D$248,D$255,D$261,D$283,D$289,D$282))*0.01)</f>
        <v>841.03298134942406</v>
      </c>
      <c r="CH291" s="433">
        <f t="shared" si="297"/>
        <v>1.2331392426273458</v>
      </c>
      <c r="CI291" s="797"/>
      <c r="CJ291" s="797"/>
      <c r="CK291" s="797"/>
      <c r="CL291" s="797"/>
      <c r="CM291" s="797"/>
      <c r="CN291" s="805"/>
    </row>
    <row r="292" spans="1:92" s="905" customFormat="1">
      <c r="A292" s="880">
        <f t="shared" si="292"/>
        <v>41447</v>
      </c>
      <c r="B292" s="881">
        <v>0.33333333333333298</v>
      </c>
      <c r="C292" s="882">
        <f t="shared" si="244"/>
        <v>24</v>
      </c>
      <c r="D292" s="886"/>
      <c r="E292" s="887"/>
      <c r="F292" s="888"/>
      <c r="G292" s="887"/>
      <c r="H292" s="887"/>
      <c r="I292" s="888"/>
      <c r="J292" s="889"/>
      <c r="K292" s="889"/>
      <c r="L292" s="890"/>
      <c r="M292" s="891"/>
      <c r="N292" s="887"/>
      <c r="O292" s="892"/>
      <c r="P292" s="886"/>
      <c r="Q292" s="887"/>
      <c r="R292" s="893"/>
      <c r="S292" s="891"/>
      <c r="T292" s="891"/>
      <c r="U292" s="894"/>
      <c r="V292" s="886"/>
      <c r="W292" s="887"/>
      <c r="X292" s="887"/>
      <c r="Y292" s="887"/>
      <c r="Z292" s="887"/>
      <c r="AA292" s="891"/>
      <c r="AB292" s="891"/>
      <c r="AC292" s="890"/>
      <c r="AD292" s="961"/>
      <c r="AE292" s="961"/>
      <c r="AF292" s="961"/>
      <c r="AG292" s="962"/>
      <c r="AH292" s="962"/>
      <c r="AI292" s="963"/>
      <c r="AJ292" s="964"/>
      <c r="AK292" s="886"/>
      <c r="AL292" s="887">
        <v>34.9</v>
      </c>
      <c r="AM292" s="887">
        <v>27</v>
      </c>
      <c r="AN292" s="895"/>
      <c r="AO292" s="896"/>
      <c r="AP292" s="888">
        <v>18</v>
      </c>
      <c r="AQ292" s="490">
        <f>((AP292-AP$276)*AQ$2)</f>
        <v>784.50937500000009</v>
      </c>
      <c r="AR292" s="883"/>
      <c r="AS292" s="884"/>
      <c r="AT292" s="208"/>
      <c r="AU292" s="585"/>
      <c r="AV292" s="230"/>
      <c r="AW292" s="906"/>
      <c r="AX292" s="887"/>
      <c r="AY292" s="887"/>
      <c r="AZ292" s="887"/>
      <c r="BA292" s="887"/>
      <c r="BB292" s="887"/>
      <c r="BC292" s="890"/>
      <c r="BD292" s="897"/>
      <c r="BE292" s="897"/>
      <c r="BF292" s="894"/>
      <c r="BG292" s="898"/>
      <c r="BH292" s="899"/>
      <c r="BI292" s="899"/>
      <c r="BJ292" s="899"/>
      <c r="BK292" s="899"/>
      <c r="BL292" s="889"/>
      <c r="BM292" s="889"/>
      <c r="BN292" s="900"/>
      <c r="BO292" s="901"/>
      <c r="BP292" s="901"/>
      <c r="BQ292" s="901"/>
      <c r="BR292" s="899"/>
      <c r="BS292" s="897"/>
      <c r="BT292" s="899"/>
      <c r="BU292" s="902"/>
      <c r="BV292" s="898"/>
      <c r="BW292" s="899">
        <v>46.7</v>
      </c>
      <c r="BX292" s="899"/>
      <c r="BY292" s="907"/>
      <c r="BZ292" s="907"/>
      <c r="CA292" s="903">
        <v>4</v>
      </c>
      <c r="CB292" s="903">
        <f t="shared" si="249"/>
        <v>19579.862499999999</v>
      </c>
      <c r="CC292" s="885"/>
      <c r="CD292" s="885"/>
      <c r="CE292" s="985"/>
      <c r="CF292" s="180"/>
      <c r="CG292" s="180"/>
      <c r="CH292" s="908"/>
      <c r="CI292" s="887"/>
      <c r="CJ292" s="887"/>
      <c r="CK292" s="887"/>
      <c r="CL292" s="887"/>
      <c r="CM292" s="887"/>
      <c r="CN292" s="904" t="s">
        <v>157</v>
      </c>
    </row>
    <row r="293" spans="1:92" s="677" customFormat="1" ht="15">
      <c r="A293" s="141">
        <f t="shared" si="292"/>
        <v>41448</v>
      </c>
      <c r="B293" s="663">
        <v>0.33333333333333298</v>
      </c>
      <c r="C293" s="304">
        <f t="shared" si="244"/>
        <v>24</v>
      </c>
      <c r="D293" s="665"/>
      <c r="E293" s="293"/>
      <c r="F293" s="301"/>
      <c r="G293" s="293"/>
      <c r="H293" s="293"/>
      <c r="I293" s="301"/>
      <c r="J293" s="772"/>
      <c r="K293" s="772"/>
      <c r="L293" s="299"/>
      <c r="M293" s="666">
        <v>50</v>
      </c>
      <c r="N293" s="293">
        <v>80</v>
      </c>
      <c r="O293" s="667"/>
      <c r="P293" s="773">
        <v>30</v>
      </c>
      <c r="Q293" s="774"/>
      <c r="R293" s="775"/>
      <c r="S293" s="666"/>
      <c r="T293" s="666"/>
      <c r="U293" s="777"/>
      <c r="V293" s="665"/>
      <c r="W293" s="293"/>
      <c r="X293" s="293"/>
      <c r="Y293" s="293"/>
      <c r="Z293" s="293"/>
      <c r="AA293" s="666"/>
      <c r="AB293" s="666"/>
      <c r="AC293" s="299"/>
      <c r="AD293" s="965"/>
      <c r="AE293" s="965"/>
      <c r="AF293" s="965"/>
      <c r="AG293" s="966"/>
      <c r="AH293" s="966"/>
      <c r="AI293" s="967"/>
      <c r="AJ293" s="968"/>
      <c r="AK293" s="665"/>
      <c r="AL293" s="293">
        <v>35.200000000000003</v>
      </c>
      <c r="AM293" s="293">
        <v>57</v>
      </c>
      <c r="AN293" s="853">
        <f t="shared" si="322"/>
        <v>64.800000000000011</v>
      </c>
      <c r="AO293" s="854">
        <f>AQ$3/AN293</f>
        <v>21.80555555555555</v>
      </c>
      <c r="AP293" s="301">
        <v>42</v>
      </c>
      <c r="AQ293" s="490">
        <f t="shared" si="298"/>
        <v>2232.8343750000004</v>
      </c>
      <c r="AR293" s="76">
        <f t="shared" si="316"/>
        <v>1448.3250000000003</v>
      </c>
      <c r="AS293" s="230">
        <f t="shared" si="317"/>
        <v>60.346875000000011</v>
      </c>
      <c r="AT293" s="208">
        <f t="shared" ref="AT293:AT294" si="325">AR293/(AVERAGE(AN293)*(AVERAGE(D$276,D$274,D$290,D$262,D$248,D$255,D$261,D$283,D$289,D$282))*AVERAGE(E$276,E$274,E$290,E$262,E$248,E$255,E$261,E$283,E$289,E$282)*0.0001)</f>
        <v>803.6439371980747</v>
      </c>
      <c r="AU293" s="585"/>
      <c r="AV293" s="230">
        <f>AR293/(AVERAGE(AN293)*AVERAGE(D$276,D$274,D$290,D$262,D$248,D$255,D$261,D$283,D$289,D$282)*0.01)</f>
        <v>613.01959529469138</v>
      </c>
      <c r="AW293" s="855">
        <f t="shared" si="323"/>
        <v>1.0250000000000001</v>
      </c>
      <c r="AX293" s="293"/>
      <c r="AY293" s="293"/>
      <c r="AZ293" s="293"/>
      <c r="BA293" s="293"/>
      <c r="BB293" s="293"/>
      <c r="BC293" s="299"/>
      <c r="BD293" s="795"/>
      <c r="BE293" s="795"/>
      <c r="BF293" s="777"/>
      <c r="BG293" s="796"/>
      <c r="BH293" s="797"/>
      <c r="BI293" s="797"/>
      <c r="BJ293" s="797"/>
      <c r="BK293" s="797"/>
      <c r="BL293" s="772"/>
      <c r="BM293" s="772"/>
      <c r="BN293" s="799"/>
      <c r="BO293" s="802"/>
      <c r="BP293" s="802"/>
      <c r="BQ293" s="802"/>
      <c r="BR293" s="797"/>
      <c r="BS293" s="795"/>
      <c r="BT293" s="797"/>
      <c r="BU293" s="801"/>
      <c r="BV293" s="796"/>
      <c r="BW293" s="296">
        <v>50.7</v>
      </c>
      <c r="BX293" s="296">
        <v>14</v>
      </c>
      <c r="BY293" s="159">
        <f t="shared" si="318"/>
        <v>28</v>
      </c>
      <c r="BZ293" s="159">
        <f t="shared" si="319"/>
        <v>26.642857142857142</v>
      </c>
      <c r="CA293" s="490">
        <v>14</v>
      </c>
      <c r="CB293" s="490">
        <f t="shared" si="249"/>
        <v>20193.143749999999</v>
      </c>
      <c r="CC293" s="208">
        <f t="shared" si="320"/>
        <v>613.28125</v>
      </c>
      <c r="CD293" s="208">
        <f t="shared" si="321"/>
        <v>25.553385416666668</v>
      </c>
      <c r="CE293" s="985">
        <f t="shared" si="324"/>
        <v>787.54305692320031</v>
      </c>
      <c r="CF293" s="180"/>
      <c r="CG293" s="180">
        <f>CC293/(AVERAGE(BY293)*AVERAGE((D$276,D$274,D$290,D$262,D$248,D$255,D$261,D$283,D$289,D$282))*0.01)</f>
        <v>600.73784382101724</v>
      </c>
      <c r="CH293" s="433">
        <f t="shared" si="297"/>
        <v>0.82209282841823061</v>
      </c>
      <c r="CI293" s="797"/>
      <c r="CJ293" s="797"/>
      <c r="CK293" s="797"/>
      <c r="CL293" s="797"/>
      <c r="CM293" s="797"/>
      <c r="CN293" s="811"/>
    </row>
    <row r="294" spans="1:92" s="677" customFormat="1" ht="15">
      <c r="A294" s="141">
        <f t="shared" si="292"/>
        <v>41449</v>
      </c>
      <c r="B294" s="663">
        <v>0.33333333333333298</v>
      </c>
      <c r="C294" s="304">
        <f t="shared" si="244"/>
        <v>24</v>
      </c>
      <c r="D294" s="665"/>
      <c r="E294" s="293"/>
      <c r="F294" s="293"/>
      <c r="G294" s="293">
        <v>5.15</v>
      </c>
      <c r="H294" s="293"/>
      <c r="I294" s="293"/>
      <c r="J294" s="666"/>
      <c r="K294" s="666"/>
      <c r="L294" s="299"/>
      <c r="M294" s="666"/>
      <c r="N294" s="293"/>
      <c r="O294" s="667"/>
      <c r="P294" s="773"/>
      <c r="Q294" s="774"/>
      <c r="R294" s="775"/>
      <c r="S294" s="666"/>
      <c r="T294" s="666"/>
      <c r="U294" s="777"/>
      <c r="V294" s="665"/>
      <c r="W294" s="293"/>
      <c r="X294" s="293"/>
      <c r="Y294" s="293"/>
      <c r="Z294" s="293"/>
      <c r="AA294" s="666"/>
      <c r="AB294" s="666"/>
      <c r="AC294" s="299"/>
      <c r="AD294" s="965"/>
      <c r="AE294" s="965"/>
      <c r="AF294" s="965"/>
      <c r="AG294" s="966"/>
      <c r="AH294" s="966"/>
      <c r="AI294" s="967"/>
      <c r="AJ294" s="968"/>
      <c r="AK294" s="665"/>
      <c r="AL294" s="293">
        <v>35.200000000000003</v>
      </c>
      <c r="AM294" s="293">
        <v>80</v>
      </c>
      <c r="AN294" s="853">
        <f t="shared" si="322"/>
        <v>49.680000000000007</v>
      </c>
      <c r="AO294" s="854">
        <f>AQ$3/AN294</f>
        <v>28.442028985507243</v>
      </c>
      <c r="AP294" s="301">
        <v>65</v>
      </c>
      <c r="AQ294" s="490">
        <f t="shared" si="298"/>
        <v>3620.8125000000005</v>
      </c>
      <c r="AR294" s="76">
        <f t="shared" si="316"/>
        <v>1387.9781250000001</v>
      </c>
      <c r="AS294" s="230">
        <f t="shared" si="317"/>
        <v>57.832421875000001</v>
      </c>
      <c r="AT294" s="208">
        <f t="shared" si="325"/>
        <v>1004.5549214975932</v>
      </c>
      <c r="AU294" s="585"/>
      <c r="AV294" s="230">
        <f>AR294/(AVERAGE(AN294)*AVERAGE(D$276,D$274,D$290,D$262,D$248,D$255,D$261,D$283,D$289,D$282)*0.01)</f>
        <v>766.27449411836415</v>
      </c>
      <c r="AW294" s="855">
        <f t="shared" si="323"/>
        <v>0.98229166666666679</v>
      </c>
      <c r="AX294" s="293">
        <v>65</v>
      </c>
      <c r="AY294" s="293">
        <v>30.8</v>
      </c>
      <c r="AZ294" s="293">
        <v>0</v>
      </c>
      <c r="BA294" s="293">
        <v>95</v>
      </c>
      <c r="BB294" s="293">
        <v>90</v>
      </c>
      <c r="BC294" s="299"/>
      <c r="BD294" s="812"/>
      <c r="BE294" s="813"/>
      <c r="BF294" s="777"/>
      <c r="BG294" s="814"/>
      <c r="BH294" s="296"/>
      <c r="BI294" s="296"/>
      <c r="BJ294" s="296"/>
      <c r="BK294" s="296"/>
      <c r="BL294" s="666"/>
      <c r="BM294" s="666"/>
      <c r="BN294" s="297"/>
      <c r="BO294" s="295"/>
      <c r="BP294" s="295"/>
      <c r="BQ294" s="295"/>
      <c r="BR294" s="296"/>
      <c r="BS294" s="813"/>
      <c r="BT294" s="296"/>
      <c r="BU294" s="815"/>
      <c r="BV294" s="814"/>
      <c r="BW294" s="296">
        <v>50.7</v>
      </c>
      <c r="BX294" s="296">
        <v>37</v>
      </c>
      <c r="BY294" s="159">
        <f t="shared" si="318"/>
        <v>46</v>
      </c>
      <c r="BZ294" s="159">
        <f t="shared" si="319"/>
        <v>16.217391304347824</v>
      </c>
      <c r="CA294" s="490">
        <v>27</v>
      </c>
      <c r="CB294" s="490">
        <f t="shared" si="249"/>
        <v>20990.409374999999</v>
      </c>
      <c r="CC294" s="208">
        <f t="shared" si="320"/>
        <v>797.265625</v>
      </c>
      <c r="CD294" s="208">
        <f t="shared" si="321"/>
        <v>33.219401041666664</v>
      </c>
      <c r="CE294" s="985">
        <f t="shared" si="324"/>
        <v>774.7720884325538</v>
      </c>
      <c r="CF294" s="180"/>
      <c r="CG294" s="180">
        <f>CC294/(AVERAGE(BY294)*AVERAGE((D$276,D$274,D$290,D$262,D$248,D$255,D$261,D$283,D$289,D$282))*0.01)</f>
        <v>475.36646771923972</v>
      </c>
      <c r="CH294" s="433">
        <f t="shared" si="297"/>
        <v>1.0687206769436997</v>
      </c>
      <c r="CI294" s="296">
        <v>64.900000000000006</v>
      </c>
      <c r="CJ294" s="296">
        <v>32.1</v>
      </c>
      <c r="CK294" s="296">
        <v>0</v>
      </c>
      <c r="CL294" s="296">
        <v>99</v>
      </c>
      <c r="CM294" s="296">
        <v>180</v>
      </c>
      <c r="CN294" s="676"/>
    </row>
    <row r="295" spans="1:92" s="677" customFormat="1" ht="15">
      <c r="A295" s="141">
        <f t="shared" si="292"/>
        <v>41450</v>
      </c>
      <c r="B295" s="663">
        <v>0.33333333333333298</v>
      </c>
      <c r="C295" s="304">
        <f t="shared" si="244"/>
        <v>24</v>
      </c>
      <c r="D295" s="665"/>
      <c r="E295" s="293"/>
      <c r="F295" s="293"/>
      <c r="G295" s="293"/>
      <c r="H295" s="293"/>
      <c r="I295" s="293"/>
      <c r="J295" s="666"/>
      <c r="K295" s="666"/>
      <c r="L295" s="299"/>
      <c r="M295" s="666">
        <v>60</v>
      </c>
      <c r="N295" s="293">
        <v>80</v>
      </c>
      <c r="O295" s="667"/>
      <c r="P295" s="668">
        <v>700</v>
      </c>
      <c r="Q295" s="210">
        <f>P295/((N295-M295)*N$4)</f>
        <v>6.9665605095541396</v>
      </c>
      <c r="R295" s="225">
        <f>10*Q295/(AVERAGE(D$261,D$262))</f>
        <v>23.144719300844319</v>
      </c>
      <c r="S295" s="666"/>
      <c r="T295" s="666"/>
      <c r="U295" s="777"/>
      <c r="V295" s="665"/>
      <c r="W295" s="293"/>
      <c r="X295" s="293"/>
      <c r="Y295" s="293"/>
      <c r="Z295" s="293"/>
      <c r="AA295" s="666"/>
      <c r="AB295" s="666"/>
      <c r="AC295" s="299"/>
      <c r="AD295" s="965"/>
      <c r="AE295" s="965"/>
      <c r="AF295" s="965"/>
      <c r="AG295" s="966"/>
      <c r="AH295" s="966"/>
      <c r="AI295" s="967"/>
      <c r="AJ295" s="968"/>
      <c r="AK295" s="665"/>
      <c r="AL295" s="293">
        <v>35.299999999999997</v>
      </c>
      <c r="AM295" s="293">
        <v>82</v>
      </c>
      <c r="AN295" s="853">
        <f>(AM295-AM294)*AQ$1/((C294)/24)</f>
        <v>4.32</v>
      </c>
      <c r="AO295" s="854">
        <f t="shared" si="315"/>
        <v>327.08333333333331</v>
      </c>
      <c r="AP295" s="301">
        <v>71</v>
      </c>
      <c r="AQ295" s="490">
        <f t="shared" si="298"/>
        <v>3982.8937500000002</v>
      </c>
      <c r="AR295" s="76">
        <f t="shared" si="316"/>
        <v>362.08124999999973</v>
      </c>
      <c r="AS295" s="230">
        <f t="shared" si="317"/>
        <v>15.086718749999989</v>
      </c>
      <c r="AT295" s="208">
        <f>AR295/(AVERAGE(AN295:AN296)*(AVERAGE(D$276,D$274,D$290,D$262,D$248,D$255,D$261,D$283,D$289,D$282))*AVERAGE(E$276,E$274,E$290,E$262,E$248,E$255,E$261,E$283,E$289,E$282)*0.0001)</f>
        <v>415.67789855072795</v>
      </c>
      <c r="AU295" s="585"/>
      <c r="AV295" s="230">
        <f>AR295/(AVERAGE(AN295:AN296)*AVERAGE(D$276,D$274,D$290,D$262,D$248,D$255,D$261,D$283,D$289,D$282)*0.01)</f>
        <v>317.07910101449522</v>
      </c>
      <c r="AW295" s="855">
        <f>AVERAGE(AR295,AR294)/AQ$3</f>
        <v>0.61927083333333321</v>
      </c>
      <c r="AX295" s="293"/>
      <c r="AY295" s="293"/>
      <c r="AZ295" s="293"/>
      <c r="BA295" s="293"/>
      <c r="BB295" s="293"/>
      <c r="BC295" s="299"/>
      <c r="BD295" s="671"/>
      <c r="BE295" s="671"/>
      <c r="BF295" s="777"/>
      <c r="BG295" s="665"/>
      <c r="BH295" s="293"/>
      <c r="BI295" s="293"/>
      <c r="BJ295" s="293"/>
      <c r="BK295" s="293"/>
      <c r="BL295" s="666"/>
      <c r="BM295" s="666"/>
      <c r="BN295" s="299"/>
      <c r="BO295" s="298"/>
      <c r="BP295" s="298"/>
      <c r="BQ295" s="298"/>
      <c r="BR295" s="293"/>
      <c r="BS295" s="671"/>
      <c r="BT295" s="293"/>
      <c r="BU295" s="675"/>
      <c r="BV295" s="665"/>
      <c r="BW295" s="293">
        <v>50.6</v>
      </c>
      <c r="BX295" s="293">
        <v>44</v>
      </c>
      <c r="BY295" s="159">
        <f t="shared" si="318"/>
        <v>14</v>
      </c>
      <c r="BZ295" s="159">
        <f t="shared" si="319"/>
        <v>53.285714285714285</v>
      </c>
      <c r="CA295" s="490">
        <v>35</v>
      </c>
      <c r="CB295" s="490">
        <f t="shared" si="249"/>
        <v>21481.034374999999</v>
      </c>
      <c r="CC295" s="208">
        <f t="shared" si="320"/>
        <v>490.625</v>
      </c>
      <c r="CD295" s="208">
        <f t="shared" si="321"/>
        <v>20.442708333333332</v>
      </c>
      <c r="CE295" s="985">
        <f t="shared" si="324"/>
        <v>588.03214916932291</v>
      </c>
      <c r="CF295" s="180"/>
      <c r="CG295" s="180">
        <f>CC295/(AVERAGE(BY295)*AVERAGE((D$276,D$274,D$290,D$262,D$248,D$255,D$261,D$283,D$289,D$282))*0.01)</f>
        <v>961.18055011362765</v>
      </c>
      <c r="CH295" s="433">
        <f t="shared" si="297"/>
        <v>0.6576742627345844</v>
      </c>
      <c r="CI295" s="293"/>
      <c r="CJ295" s="293"/>
      <c r="CK295" s="293"/>
      <c r="CL295" s="293"/>
      <c r="CM295" s="293"/>
      <c r="CN295" s="676"/>
    </row>
    <row r="296" spans="1:92" s="337" customFormat="1" ht="15">
      <c r="A296" s="309">
        <f t="shared" si="292"/>
        <v>41451</v>
      </c>
      <c r="B296" s="310">
        <v>0.33333333333333298</v>
      </c>
      <c r="C296" s="311">
        <f t="shared" si="244"/>
        <v>24</v>
      </c>
      <c r="D296" s="318">
        <v>3.9</v>
      </c>
      <c r="E296" s="319">
        <v>76.400000000000006</v>
      </c>
      <c r="F296" s="319">
        <v>50500</v>
      </c>
      <c r="G296" s="319">
        <v>5.24</v>
      </c>
      <c r="H296" s="319"/>
      <c r="I296" s="319">
        <v>5314</v>
      </c>
      <c r="J296" s="317"/>
      <c r="K296" s="317"/>
      <c r="L296" s="320"/>
      <c r="M296" s="317"/>
      <c r="N296" s="319"/>
      <c r="O296" s="472"/>
      <c r="P296" s="763"/>
      <c r="Q296" s="764"/>
      <c r="R296" s="765"/>
      <c r="S296" s="317"/>
      <c r="T296" s="317"/>
      <c r="U296" s="757"/>
      <c r="V296" s="318">
        <v>2.4</v>
      </c>
      <c r="W296" s="319">
        <v>63.9</v>
      </c>
      <c r="X296" s="319">
        <v>24700</v>
      </c>
      <c r="Y296" s="319"/>
      <c r="Z296" s="319">
        <v>2030</v>
      </c>
      <c r="AA296" s="317"/>
      <c r="AB296" s="317"/>
      <c r="AC296" s="320"/>
      <c r="AD296" s="752">
        <f>D290*(100-E290)/(100-W296)</f>
        <v>2.3601108033240994</v>
      </c>
      <c r="AE296" s="753">
        <f>D290-V296</f>
        <v>1.6</v>
      </c>
      <c r="AF296" s="864">
        <f>100*(AVERAGE(D$276,D$274,D$290,D$262,D$296,D$255,D$261,D$283,D$289,D$282)-V296)/AVERAGE(D$276,D$274,D$290,D$262,D$296,D$255,D$261,D$283,D$289,D$282)</f>
        <v>35.414424111948335</v>
      </c>
      <c r="AG296" s="864">
        <f>100*(1-((100-AVERAGE(E$276,E$274,E$290,E$262,E$296,E$255,E$261,E$283,E$289,E$282))/(100-W296)))</f>
        <v>34.376731301939024</v>
      </c>
      <c r="AH296" s="753">
        <f>E290-W296</f>
        <v>14.800000000000004</v>
      </c>
      <c r="AI296" s="847">
        <f>100*(1-((V296*W296)/(AVERAGE(D$276,D$274,D$290,D$262,D$296,D$255,D$261,D$283,D$289,D$282)*AVERAGE(E$276,E$274,E$290,E$262,E$296,E$255,E$261,E$283,E$289,E$282))))</f>
        <v>45.91772638911673</v>
      </c>
      <c r="AJ296" s="847">
        <f>100*100*((AVERAGE(E$276,E$274,E$290,E$262,E$296,E$255,E$261,E$283,E$289,E$282)-W296)/((100-W296)*AVERAGE(E$276,E$274,E$290,E$262,E$296,E$255,E$261,E$283,E$289,E$282)))</f>
        <v>45.048789545195959</v>
      </c>
      <c r="AK296" s="318">
        <v>7.19</v>
      </c>
      <c r="AL296" s="319">
        <v>34</v>
      </c>
      <c r="AM296" s="319">
        <v>109</v>
      </c>
      <c r="AN296" s="846">
        <f>(AM296-AM295)*AQ$1/((C295)/24)</f>
        <v>58.320000000000007</v>
      </c>
      <c r="AO296" s="847">
        <f t="shared" si="315"/>
        <v>24.228395061728392</v>
      </c>
      <c r="AP296" s="313">
        <v>87</v>
      </c>
      <c r="AQ296" s="490">
        <f t="shared" si="298"/>
        <v>4948.4437500000004</v>
      </c>
      <c r="AR296" s="348">
        <f t="shared" si="316"/>
        <v>965.55000000000018</v>
      </c>
      <c r="AS296" s="512">
        <f t="shared" si="317"/>
        <v>40.23125000000001</v>
      </c>
      <c r="AT296" s="334">
        <f>AR296/(AVERAGE(AN296)*(AVERAGE(D$276,D$274,D$290,D$262,D$296,D$255,D$261,D$283,D$289,D$282))*AVERAGE(E$276,E$274,E$290,E$262,E$296,E$255,E$261,E$283,E$289,E$282)*0.0001)</f>
        <v>583.84839947530531</v>
      </c>
      <c r="AU296" s="348"/>
      <c r="AV296" s="512">
        <f t="shared" ref="AV296:AV302" si="326">AR296/(AVERAGE(AN296)*AVERAGE(D$276,D$274,D$290,D$262,D$296,D$255,D$261,D$283,D$289,D$282)*0.01)</f>
        <v>445.5347136396054</v>
      </c>
      <c r="AW296" s="848">
        <f t="shared" si="323"/>
        <v>0.68333333333333346</v>
      </c>
      <c r="AX296" s="319">
        <v>67.400000000000006</v>
      </c>
      <c r="AY296" s="319">
        <v>32.6</v>
      </c>
      <c r="AZ296" s="319">
        <v>0</v>
      </c>
      <c r="BA296" s="319">
        <v>89</v>
      </c>
      <c r="BB296" s="319">
        <v>80</v>
      </c>
      <c r="BC296" s="320"/>
      <c r="BD296" s="368"/>
      <c r="BE296" s="368"/>
      <c r="BF296" s="757"/>
      <c r="BG296" s="318">
        <v>2.4</v>
      </c>
      <c r="BH296" s="319">
        <v>61.8</v>
      </c>
      <c r="BI296" s="319">
        <v>25800</v>
      </c>
      <c r="BJ296" s="319"/>
      <c r="BK296" s="319">
        <v>2331</v>
      </c>
      <c r="BL296" s="317"/>
      <c r="BM296" s="317"/>
      <c r="BN296" s="320"/>
      <c r="BO296" s="859">
        <f>D290*(100-E290)/(100-BH296)</f>
        <v>2.2303664921465964</v>
      </c>
      <c r="BP296" s="753">
        <f>D290-BG296</f>
        <v>1.6</v>
      </c>
      <c r="BQ296" s="860">
        <f>100*(AVERAGE(D$276,D$274,D$290,D$262,D$296,D$255,D$261,D$283,D$289,D$282)-BG296)/AVERAGE(D$276,D$274,D$290,D$262,D$296,D$255,D$261,D$283,D$289,D$282)</f>
        <v>35.414424111948335</v>
      </c>
      <c r="BR296" s="861">
        <f>100*(1-((100-AVERAGE(E$276,E$274,E$290,E$262,E$296,E$255,E$261,E$283,E$289,E$282))/(100-BH296)))</f>
        <v>37.984293193717257</v>
      </c>
      <c r="BS296" s="858">
        <f>E290-BH296</f>
        <v>16.900000000000006</v>
      </c>
      <c r="BT296" s="862">
        <f>100*(1-((BG296*BH296)/(AVERAGE(D$276,D$274,D$290,D$262,D$296,D$255,D$261,D$283,D$289,D$282)*AVERAGE(E$276,E$274,E$290,E$262,E$296,E$255,E$261,E$283,E$289,E$282))))</f>
        <v>47.69507810402839</v>
      </c>
      <c r="BU296" s="863">
        <f>100*100*((AVERAGE(E$276,E$274,E$290,E$262,E$296,E$255,E$261,E$283,E$289,E$282)-BH296)/((100-BH296)*AVERAGE(E$276,E$274,E$290,E$262,E$296,E$255,E$261,E$283,E$289,E$282)))</f>
        <v>49.776298248875975</v>
      </c>
      <c r="BV296" s="318">
        <v>7.36</v>
      </c>
      <c r="BW296" s="319">
        <v>48.6</v>
      </c>
      <c r="BX296" s="319">
        <v>69</v>
      </c>
      <c r="BY296" s="462">
        <f t="shared" si="318"/>
        <v>50</v>
      </c>
      <c r="BZ296" s="462">
        <f t="shared" si="319"/>
        <v>14.92</v>
      </c>
      <c r="CA296" s="348">
        <v>51</v>
      </c>
      <c r="CB296" s="348">
        <f t="shared" si="249"/>
        <v>22462.284374999999</v>
      </c>
      <c r="CC296" s="334">
        <f t="shared" si="320"/>
        <v>981.25</v>
      </c>
      <c r="CD296" s="334">
        <f t="shared" si="321"/>
        <v>40.885416666666664</v>
      </c>
      <c r="CE296" s="984">
        <f>CC296/(AVERAGE(BY295,BY296)*(AVERAGE(D$276,D$274,D$290,D$262,D$296,D$255,D$261,D$283,D$289,D$282))*AVERAGE(E$276,E$274,E$290,E$262,E$296,E$255,E$261,E$283,E$289,E$282)*0.0001)</f>
        <v>1081.3655569550244</v>
      </c>
      <c r="CF296" s="313"/>
      <c r="CG296" s="441">
        <f>CC296/(AVERAGE(BY296)*AVERAGE((D$276,D$274,D$290,D$262,D$296,D$255,D$261,D$283,D$289,D$282))*0.01)</f>
        <v>528.12163616792259</v>
      </c>
      <c r="CH296" s="477">
        <f>CC296/CB$3</f>
        <v>1.3153485254691688</v>
      </c>
      <c r="CI296" s="319">
        <v>67.7</v>
      </c>
      <c r="CJ296" s="319">
        <v>32.200000000000003</v>
      </c>
      <c r="CK296" s="319">
        <v>0</v>
      </c>
      <c r="CL296" s="319">
        <v>75</v>
      </c>
      <c r="CM296" s="319">
        <v>125</v>
      </c>
      <c r="CN296" s="442"/>
    </row>
    <row r="297" spans="1:92" s="677" customFormat="1" ht="15">
      <c r="A297" s="141">
        <f t="shared" si="292"/>
        <v>41452</v>
      </c>
      <c r="B297" s="663">
        <v>0.33333333333333298</v>
      </c>
      <c r="C297" s="304">
        <f t="shared" si="244"/>
        <v>24</v>
      </c>
      <c r="D297" s="665"/>
      <c r="E297" s="293"/>
      <c r="F297" s="293"/>
      <c r="G297" s="293"/>
      <c r="H297" s="293"/>
      <c r="I297" s="293"/>
      <c r="J297" s="666"/>
      <c r="K297" s="666"/>
      <c r="L297" s="299"/>
      <c r="M297" s="666">
        <v>57</v>
      </c>
      <c r="N297" s="293">
        <v>80</v>
      </c>
      <c r="O297" s="667"/>
      <c r="P297" s="773"/>
      <c r="Q297" s="774"/>
      <c r="R297" s="775"/>
      <c r="S297" s="786"/>
      <c r="T297" s="786"/>
      <c r="U297" s="777"/>
      <c r="V297" s="665"/>
      <c r="W297" s="293"/>
      <c r="X297" s="293"/>
      <c r="Y297" s="293"/>
      <c r="Z297" s="293"/>
      <c r="AA297" s="666"/>
      <c r="AB297" s="666"/>
      <c r="AC297" s="299"/>
      <c r="AD297" s="965"/>
      <c r="AE297" s="965"/>
      <c r="AF297" s="965"/>
      <c r="AG297" s="966"/>
      <c r="AH297" s="966"/>
      <c r="AI297" s="967"/>
      <c r="AJ297" s="968"/>
      <c r="AK297" s="665"/>
      <c r="AL297" s="293">
        <v>35.299999999999997</v>
      </c>
      <c r="AM297" s="293">
        <v>136</v>
      </c>
      <c r="AN297" s="853">
        <f t="shared" ref="AN297:AN308" si="327">(AM297-AM296)*AQ$1/((C296)/24)</f>
        <v>58.320000000000007</v>
      </c>
      <c r="AO297" s="854">
        <f t="shared" ref="AO297:AO308" si="328">AQ$3/AN297</f>
        <v>24.228395061728392</v>
      </c>
      <c r="AP297" s="301">
        <v>106</v>
      </c>
      <c r="AQ297" s="490">
        <f t="shared" si="298"/>
        <v>6095.0343750000002</v>
      </c>
      <c r="AR297" s="76">
        <f t="shared" si="316"/>
        <v>1146.5906249999998</v>
      </c>
      <c r="AS297" s="230">
        <f t="shared" si="317"/>
        <v>47.77460937499999</v>
      </c>
      <c r="AT297" s="208">
        <f t="shared" ref="AT297:AT302" si="329">AR297/(AVERAGE(AN297)*(AVERAGE(D$276,D$274,D$290,D$262,D$296,D$255,D$261,D$283,D$289,D$282))*AVERAGE(E$276,E$274,E$290,E$262,E$296,E$255,E$261,E$283,E$289,E$282)*0.0001)</f>
        <v>693.31997437692485</v>
      </c>
      <c r="AU297" s="585"/>
      <c r="AV297" s="230">
        <f t="shared" si="326"/>
        <v>529.07247244703126</v>
      </c>
      <c r="AW297" s="855">
        <f t="shared" si="323"/>
        <v>0.81145833333333317</v>
      </c>
      <c r="AX297" s="293"/>
      <c r="AY297" s="293"/>
      <c r="AZ297" s="293"/>
      <c r="BA297" s="293"/>
      <c r="BB297" s="293"/>
      <c r="BC297" s="299"/>
      <c r="BD297" s="792"/>
      <c r="BE297" s="792"/>
      <c r="BF297" s="777"/>
      <c r="BG297" s="665"/>
      <c r="BH297" s="293"/>
      <c r="BI297" s="293"/>
      <c r="BJ297" s="293"/>
      <c r="BK297" s="293"/>
      <c r="BL297" s="666"/>
      <c r="BM297" s="666"/>
      <c r="BN297" s="299"/>
      <c r="BO297" s="298"/>
      <c r="BP297" s="298"/>
      <c r="BQ297" s="298"/>
      <c r="BR297" s="293"/>
      <c r="BS297" s="671"/>
      <c r="BT297" s="293"/>
      <c r="BU297" s="675"/>
      <c r="BV297" s="665"/>
      <c r="BW297" s="293">
        <v>50.4</v>
      </c>
      <c r="BX297" s="293">
        <v>85</v>
      </c>
      <c r="BY297" s="159">
        <f t="shared" ref="BY297:BY308" si="330">(BX297-BX296)*CB$1/((C297)/24)</f>
        <v>32</v>
      </c>
      <c r="BZ297" s="159">
        <f t="shared" ref="BZ297:BZ308" si="331">CB$3/BY297</f>
        <v>23.3125</v>
      </c>
      <c r="CA297" s="490">
        <v>64</v>
      </c>
      <c r="CB297" s="490">
        <f t="shared" si="249"/>
        <v>23259.55</v>
      </c>
      <c r="CC297" s="208">
        <f t="shared" si="320"/>
        <v>797.265625</v>
      </c>
      <c r="CD297" s="208">
        <f t="shared" si="321"/>
        <v>33.219401041666664</v>
      </c>
      <c r="CE297" s="985">
        <f t="shared" ref="CE297:CE302" si="332">CC297/(AVERAGE(BY296,BY297)*(AVERAGE(D$276,D$274,D$290,D$262,D$296,D$255,D$261,D$283,D$289,D$282))*AVERAGE(E$276,E$274,E$290,E$262,E$296,E$255,E$261,E$283,E$289,E$282)*0.0001)</f>
        <v>685.74401172757644</v>
      </c>
      <c r="CF297" s="180"/>
      <c r="CG297" s="180">
        <f>CC297/(AVERAGE(BY297)*AVERAGE((D$276,D$274,D$290,D$262,D$296,D$255,D$261,D$283,D$289,D$282))*0.01)</f>
        <v>670.46692091630791</v>
      </c>
      <c r="CH297" s="433">
        <f t="shared" si="297"/>
        <v>1.0687206769436997</v>
      </c>
      <c r="CI297" s="293"/>
      <c r="CJ297" s="293"/>
      <c r="CK297" s="293"/>
      <c r="CL297" s="293"/>
      <c r="CM297" s="293"/>
      <c r="CN297" s="676"/>
    </row>
    <row r="298" spans="1:92" s="677" customFormat="1" ht="15">
      <c r="A298" s="141">
        <f t="shared" si="292"/>
        <v>41453</v>
      </c>
      <c r="B298" s="307">
        <v>0.33333333333333298</v>
      </c>
      <c r="C298" s="304">
        <f t="shared" si="244"/>
        <v>24</v>
      </c>
      <c r="D298" s="665"/>
      <c r="E298" s="293"/>
      <c r="F298" s="293"/>
      <c r="G298" s="293"/>
      <c r="H298" s="293"/>
      <c r="I298" s="293"/>
      <c r="J298" s="666"/>
      <c r="K298" s="666"/>
      <c r="L298" s="299"/>
      <c r="M298" s="666">
        <v>60</v>
      </c>
      <c r="N298" s="293">
        <v>90</v>
      </c>
      <c r="O298" s="667"/>
      <c r="P298" s="773">
        <v>1050</v>
      </c>
      <c r="Q298" s="210">
        <f>P298/((N298-M298)*N$4)</f>
        <v>6.9665605095541405</v>
      </c>
      <c r="R298" s="225">
        <f>10*Q298/(AVERAGE(D$261,D$262))</f>
        <v>23.144719300844322</v>
      </c>
      <c r="S298" s="666"/>
      <c r="T298" s="666"/>
      <c r="U298" s="777"/>
      <c r="V298" s="665"/>
      <c r="W298" s="293"/>
      <c r="X298" s="293"/>
      <c r="Y298" s="293"/>
      <c r="Z298" s="293"/>
      <c r="AA298" s="666"/>
      <c r="AB298" s="666"/>
      <c r="AC298" s="299"/>
      <c r="AD298" s="965"/>
      <c r="AE298" s="965"/>
      <c r="AF298" s="965"/>
      <c r="AG298" s="966"/>
      <c r="AH298" s="966"/>
      <c r="AI298" s="967"/>
      <c r="AJ298" s="968"/>
      <c r="AK298" s="665"/>
      <c r="AL298" s="293">
        <v>35.299999999999997</v>
      </c>
      <c r="AM298" s="293">
        <v>164</v>
      </c>
      <c r="AN298" s="853">
        <f t="shared" si="327"/>
        <v>60.480000000000004</v>
      </c>
      <c r="AO298" s="854">
        <f t="shared" si="328"/>
        <v>23.363095238095237</v>
      </c>
      <c r="AP298" s="301">
        <v>126</v>
      </c>
      <c r="AQ298" s="490">
        <f t="shared" si="298"/>
        <v>7301.9718750000002</v>
      </c>
      <c r="AR298" s="76">
        <f t="shared" si="316"/>
        <v>1206.9375</v>
      </c>
      <c r="AS298" s="230">
        <f t="shared" si="317"/>
        <v>50.2890625</v>
      </c>
      <c r="AT298" s="208">
        <f t="shared" si="329"/>
        <v>703.74583865326974</v>
      </c>
      <c r="AU298" s="585"/>
      <c r="AV298" s="230">
        <f t="shared" si="326"/>
        <v>537.02844947631013</v>
      </c>
      <c r="AW298" s="855">
        <f t="shared" si="323"/>
        <v>0.85416666666666663</v>
      </c>
      <c r="AX298" s="293"/>
      <c r="AY298" s="293"/>
      <c r="AZ298" s="293"/>
      <c r="BA298" s="293"/>
      <c r="BB298" s="293"/>
      <c r="BC298" s="299"/>
      <c r="BD298" s="671"/>
      <c r="BE298" s="671"/>
      <c r="BF298" s="777"/>
      <c r="BG298" s="665"/>
      <c r="BH298" s="293"/>
      <c r="BI298" s="293"/>
      <c r="BJ298" s="293"/>
      <c r="BK298" s="293"/>
      <c r="BL298" s="666"/>
      <c r="BM298" s="666"/>
      <c r="BN298" s="299"/>
      <c r="BO298" s="298"/>
      <c r="BP298" s="298"/>
      <c r="BQ298" s="298"/>
      <c r="BR298" s="293"/>
      <c r="BS298" s="671"/>
      <c r="BT298" s="293"/>
      <c r="BU298" s="675"/>
      <c r="BV298" s="665"/>
      <c r="BW298" s="293">
        <v>50.6</v>
      </c>
      <c r="BX298" s="293">
        <v>100</v>
      </c>
      <c r="BY298" s="159">
        <f t="shared" si="330"/>
        <v>30</v>
      </c>
      <c r="BZ298" s="159">
        <f t="shared" si="331"/>
        <v>24.866666666666667</v>
      </c>
      <c r="CA298" s="490">
        <v>77</v>
      </c>
      <c r="CB298" s="490">
        <f t="shared" si="249"/>
        <v>24056.815624999999</v>
      </c>
      <c r="CC298" s="208">
        <f t="shared" si="320"/>
        <v>797.265625</v>
      </c>
      <c r="CD298" s="208">
        <f t="shared" si="321"/>
        <v>33.219401041666664</v>
      </c>
      <c r="CE298" s="985">
        <f t="shared" si="332"/>
        <v>906.95175744614937</v>
      </c>
      <c r="CF298" s="180"/>
      <c r="CG298" s="180">
        <f>CC298/(AVERAGE(BY298)*AVERAGE((D$276,D$274,D$290,D$262,D$296,D$255,D$261,D$283,D$289,D$282))*0.01)</f>
        <v>715.16471564406174</v>
      </c>
      <c r="CH298" s="433">
        <f t="shared" si="297"/>
        <v>1.0687206769436997</v>
      </c>
      <c r="CI298" s="293"/>
      <c r="CJ298" s="293"/>
      <c r="CK298" s="293"/>
      <c r="CL298" s="293"/>
      <c r="CM298" s="293"/>
      <c r="CN298" s="676"/>
    </row>
    <row r="299" spans="1:92" s="677" customFormat="1" ht="15">
      <c r="A299" s="141">
        <f t="shared" si="292"/>
        <v>41454</v>
      </c>
      <c r="B299" s="663">
        <v>0.33333333333333298</v>
      </c>
      <c r="C299" s="304">
        <f t="shared" si="244"/>
        <v>24</v>
      </c>
      <c r="D299" s="665"/>
      <c r="E299" s="293"/>
      <c r="F299" s="301"/>
      <c r="G299" s="293"/>
      <c r="H299" s="293"/>
      <c r="I299" s="301"/>
      <c r="J299" s="772"/>
      <c r="K299" s="772"/>
      <c r="L299" s="299"/>
      <c r="M299" s="666"/>
      <c r="N299" s="293"/>
      <c r="O299" s="667"/>
      <c r="P299" s="773"/>
      <c r="Q299" s="774"/>
      <c r="R299" s="775"/>
      <c r="S299" s="666"/>
      <c r="T299" s="666"/>
      <c r="U299" s="777"/>
      <c r="V299" s="665"/>
      <c r="W299" s="293"/>
      <c r="X299" s="490"/>
      <c r="Y299" s="293"/>
      <c r="Z299" s="293"/>
      <c r="AA299" s="666"/>
      <c r="AB299" s="666"/>
      <c r="AC299" s="299"/>
      <c r="AD299" s="969"/>
      <c r="AE299" s="970"/>
      <c r="AF299" s="971"/>
      <c r="AG299" s="435"/>
      <c r="AH299" s="972"/>
      <c r="AI299" s="970"/>
      <c r="AJ299" s="973"/>
      <c r="AK299" s="665"/>
      <c r="AL299" s="293">
        <v>35.200000000000003</v>
      </c>
      <c r="AM299" s="293">
        <v>192</v>
      </c>
      <c r="AN299" s="853">
        <f t="shared" si="327"/>
        <v>60.480000000000004</v>
      </c>
      <c r="AO299" s="854">
        <f t="shared" si="328"/>
        <v>23.363095238095237</v>
      </c>
      <c r="AP299" s="301">
        <v>146</v>
      </c>
      <c r="AQ299" s="490">
        <f t="shared" si="298"/>
        <v>8508.9093750000011</v>
      </c>
      <c r="AR299" s="76">
        <f t="shared" si="316"/>
        <v>1206.9375000000009</v>
      </c>
      <c r="AS299" s="230">
        <f t="shared" si="317"/>
        <v>50.289062500000036</v>
      </c>
      <c r="AT299" s="208">
        <f t="shared" si="329"/>
        <v>703.7458386532702</v>
      </c>
      <c r="AU299" s="585"/>
      <c r="AV299" s="230">
        <f t="shared" si="326"/>
        <v>537.02844947631047</v>
      </c>
      <c r="AW299" s="855">
        <f t="shared" si="323"/>
        <v>0.8541666666666673</v>
      </c>
      <c r="AX299" s="293"/>
      <c r="AY299" s="293"/>
      <c r="AZ299" s="293"/>
      <c r="BA299" s="293"/>
      <c r="BB299" s="293"/>
      <c r="BC299" s="299"/>
      <c r="BD299" s="671"/>
      <c r="BE299" s="671"/>
      <c r="BF299" s="777"/>
      <c r="BG299" s="665"/>
      <c r="BH299" s="293"/>
      <c r="BI299" s="490"/>
      <c r="BJ299" s="293"/>
      <c r="BK299" s="490"/>
      <c r="BL299" s="772"/>
      <c r="BM299" s="772"/>
      <c r="BN299" s="299"/>
      <c r="BO299" s="778"/>
      <c r="BP299" s="779"/>
      <c r="BQ299" s="780"/>
      <c r="BR299" s="776"/>
      <c r="BS299" s="782"/>
      <c r="BT299" s="781"/>
      <c r="BU299" s="783"/>
      <c r="BV299" s="665"/>
      <c r="BW299" s="293">
        <v>50.5</v>
      </c>
      <c r="BX299" s="293">
        <v>116</v>
      </c>
      <c r="BY299" s="159">
        <f t="shared" si="330"/>
        <v>32</v>
      </c>
      <c r="BZ299" s="159">
        <f t="shared" si="331"/>
        <v>23.3125</v>
      </c>
      <c r="CA299" s="490">
        <v>90</v>
      </c>
      <c r="CB299" s="490">
        <f t="shared" si="249"/>
        <v>24854.081249999999</v>
      </c>
      <c r="CC299" s="208">
        <f t="shared" si="320"/>
        <v>797.265625</v>
      </c>
      <c r="CD299" s="208">
        <f t="shared" si="321"/>
        <v>33.219401041666664</v>
      </c>
      <c r="CE299" s="985">
        <f t="shared" si="332"/>
        <v>906.95175744614937</v>
      </c>
      <c r="CF299" s="180"/>
      <c r="CG299" s="180">
        <f>CC299/(AVERAGE(BY299)*AVERAGE((D$276,D$274,D$290,D$262,D$296,D$255,D$261,D$283,D$289,D$282))*0.01)</f>
        <v>670.46692091630791</v>
      </c>
      <c r="CH299" s="433">
        <f t="shared" si="297"/>
        <v>1.0687206769436997</v>
      </c>
      <c r="CI299" s="293"/>
      <c r="CJ299" s="293"/>
      <c r="CK299" s="293"/>
      <c r="CL299" s="293"/>
      <c r="CM299" s="293"/>
      <c r="CN299" s="676"/>
    </row>
    <row r="300" spans="1:92" s="677" customFormat="1" ht="15">
      <c r="A300" s="141">
        <f t="shared" si="292"/>
        <v>41455</v>
      </c>
      <c r="B300" s="307">
        <v>0.33333333333333298</v>
      </c>
      <c r="C300" s="304">
        <f t="shared" si="244"/>
        <v>24</v>
      </c>
      <c r="D300" s="665"/>
      <c r="E300" s="293"/>
      <c r="F300" s="293"/>
      <c r="G300" s="293"/>
      <c r="H300" s="293"/>
      <c r="I300" s="293"/>
      <c r="J300" s="666"/>
      <c r="K300" s="666"/>
      <c r="L300" s="299"/>
      <c r="M300" s="666">
        <v>70</v>
      </c>
      <c r="N300" s="293">
        <v>80</v>
      </c>
      <c r="O300" s="667"/>
      <c r="P300" s="668">
        <v>350</v>
      </c>
      <c r="Q300" s="210">
        <f>P300/((N300-M300)*N$4)</f>
        <v>6.9665605095541396</v>
      </c>
      <c r="R300" s="225">
        <f>10*Q300/(AVERAGE(D$261,D$262))</f>
        <v>23.144719300844319</v>
      </c>
      <c r="S300" s="666"/>
      <c r="T300" s="666"/>
      <c r="U300" s="777"/>
      <c r="V300" s="665"/>
      <c r="W300" s="293"/>
      <c r="X300" s="293"/>
      <c r="Y300" s="293"/>
      <c r="Z300" s="293"/>
      <c r="AA300" s="666"/>
      <c r="AB300" s="666"/>
      <c r="AC300" s="299"/>
      <c r="AD300" s="965"/>
      <c r="AE300" s="965"/>
      <c r="AF300" s="965"/>
      <c r="AG300" s="966"/>
      <c r="AH300" s="966"/>
      <c r="AI300" s="967"/>
      <c r="AJ300" s="968"/>
      <c r="AK300" s="665"/>
      <c r="AL300" s="293">
        <v>35.299999999999997</v>
      </c>
      <c r="AM300" s="293">
        <v>215</v>
      </c>
      <c r="AN300" s="853">
        <f t="shared" si="327"/>
        <v>49.680000000000007</v>
      </c>
      <c r="AO300" s="854">
        <f t="shared" si="328"/>
        <v>28.442028985507243</v>
      </c>
      <c r="AP300" s="301">
        <v>166</v>
      </c>
      <c r="AQ300" s="490">
        <f t="shared" si="298"/>
        <v>9715.8468750000011</v>
      </c>
      <c r="AR300" s="76">
        <f t="shared" si="316"/>
        <v>1206.9375</v>
      </c>
      <c r="AS300" s="230">
        <f t="shared" si="317"/>
        <v>50.2890625</v>
      </c>
      <c r="AT300" s="208">
        <f t="shared" si="329"/>
        <v>856.73406444745888</v>
      </c>
      <c r="AU300" s="585"/>
      <c r="AV300" s="230">
        <f t="shared" si="326"/>
        <v>653.77376457985577</v>
      </c>
      <c r="AW300" s="855">
        <f t="shared" si="323"/>
        <v>0.85416666666666663</v>
      </c>
      <c r="AX300" s="293"/>
      <c r="AY300" s="293"/>
      <c r="AZ300" s="293"/>
      <c r="BB300" s="293"/>
      <c r="BC300" s="299"/>
      <c r="BD300" s="671"/>
      <c r="BE300" s="671"/>
      <c r="BF300" s="816"/>
      <c r="BG300" s="665"/>
      <c r="BH300" s="293"/>
      <c r="BI300" s="293"/>
      <c r="BJ300" s="293"/>
      <c r="BK300" s="293"/>
      <c r="BL300" s="666"/>
      <c r="BM300" s="666"/>
      <c r="BN300" s="299"/>
      <c r="BO300" s="298"/>
      <c r="BP300" s="298"/>
      <c r="BQ300" s="298"/>
      <c r="BR300" s="293"/>
      <c r="BS300" s="671"/>
      <c r="BT300" s="293"/>
      <c r="BU300" s="675"/>
      <c r="BV300" s="665"/>
      <c r="BW300" s="293">
        <v>50.5</v>
      </c>
      <c r="BX300" s="293">
        <v>132</v>
      </c>
      <c r="BY300" s="159">
        <f t="shared" si="330"/>
        <v>32</v>
      </c>
      <c r="BZ300" s="159">
        <f t="shared" si="331"/>
        <v>23.3125</v>
      </c>
      <c r="CA300" s="490">
        <v>103</v>
      </c>
      <c r="CB300" s="490">
        <f t="shared" si="249"/>
        <v>25651.346874999999</v>
      </c>
      <c r="CC300" s="208">
        <f t="shared" si="320"/>
        <v>797.265625</v>
      </c>
      <c r="CD300" s="208">
        <f t="shared" si="321"/>
        <v>33.219401041666664</v>
      </c>
      <c r="CE300" s="985">
        <f t="shared" si="332"/>
        <v>878.60951502595731</v>
      </c>
      <c r="CF300" s="180"/>
      <c r="CG300" s="180">
        <f>CC300/(AVERAGE(BY300)*AVERAGE((D$276,D$274,D$290,D$262,D$296,D$255,D$261,D$283,D$289,D$282))*0.01)</f>
        <v>670.46692091630791</v>
      </c>
      <c r="CH300" s="433">
        <f t="shared" si="297"/>
        <v>1.0687206769436997</v>
      </c>
      <c r="CI300" s="293"/>
      <c r="CJ300" s="293"/>
      <c r="CK300" s="293"/>
      <c r="CL300" s="293"/>
      <c r="CM300" s="293"/>
      <c r="CN300" s="676"/>
    </row>
    <row r="301" spans="1:92" s="677" customFormat="1" ht="15">
      <c r="A301" s="141">
        <f t="shared" si="292"/>
        <v>41456</v>
      </c>
      <c r="B301" s="663">
        <v>0.33333333333333298</v>
      </c>
      <c r="C301" s="304">
        <f t="shared" si="244"/>
        <v>24</v>
      </c>
      <c r="D301" s="665"/>
      <c r="E301" s="293"/>
      <c r="F301" s="293"/>
      <c r="G301" s="293"/>
      <c r="H301" s="293"/>
      <c r="I301" s="293"/>
      <c r="J301" s="666"/>
      <c r="K301" s="666"/>
      <c r="L301" s="299"/>
      <c r="M301" s="666"/>
      <c r="N301" s="293"/>
      <c r="O301" s="667"/>
      <c r="P301" s="773"/>
      <c r="Q301" s="774"/>
      <c r="R301" s="775"/>
      <c r="S301" s="666"/>
      <c r="T301" s="666"/>
      <c r="U301" s="777"/>
      <c r="V301" s="665"/>
      <c r="W301" s="293"/>
      <c r="X301" s="293"/>
      <c r="Y301" s="293"/>
      <c r="Z301" s="293"/>
      <c r="AA301" s="666"/>
      <c r="AB301" s="666"/>
      <c r="AC301" s="299"/>
      <c r="AD301" s="965"/>
      <c r="AE301" s="965"/>
      <c r="AF301" s="965"/>
      <c r="AG301" s="966"/>
      <c r="AH301" s="966"/>
      <c r="AI301" s="967"/>
      <c r="AJ301" s="968"/>
      <c r="AK301" s="665"/>
      <c r="AL301" s="293">
        <v>35.1</v>
      </c>
      <c r="AM301" s="293">
        <v>248</v>
      </c>
      <c r="AN301" s="853">
        <f t="shared" si="327"/>
        <v>71.28</v>
      </c>
      <c r="AO301" s="854">
        <f t="shared" si="328"/>
        <v>19.823232323232322</v>
      </c>
      <c r="AP301" s="301">
        <v>186</v>
      </c>
      <c r="AQ301" s="490">
        <f t="shared" si="298"/>
        <v>10922.784375000001</v>
      </c>
      <c r="AR301" s="76">
        <f t="shared" si="316"/>
        <v>1206.9375</v>
      </c>
      <c r="AS301" s="230">
        <f t="shared" si="317"/>
        <v>50.2890625</v>
      </c>
      <c r="AT301" s="208">
        <f t="shared" si="329"/>
        <v>597.11768128156223</v>
      </c>
      <c r="AU301" s="585"/>
      <c r="AV301" s="230">
        <f t="shared" si="326"/>
        <v>455.66050258596016</v>
      </c>
      <c r="AW301" s="855">
        <f t="shared" si="323"/>
        <v>0.85416666666666663</v>
      </c>
      <c r="AX301" s="293"/>
      <c r="AY301" s="293"/>
      <c r="AZ301" s="293"/>
      <c r="BB301" s="293"/>
      <c r="BC301" s="299"/>
      <c r="BD301" s="671"/>
      <c r="BE301" s="671"/>
      <c r="BF301" s="816"/>
      <c r="BG301" s="665"/>
      <c r="BH301" s="293"/>
      <c r="BI301" s="293"/>
      <c r="BJ301" s="293"/>
      <c r="BK301" s="293"/>
      <c r="BL301" s="666"/>
      <c r="BM301" s="666"/>
      <c r="BN301" s="299"/>
      <c r="BO301" s="298"/>
      <c r="BP301" s="298"/>
      <c r="BQ301" s="298"/>
      <c r="BR301" s="293"/>
      <c r="BS301" s="671"/>
      <c r="BT301" s="293"/>
      <c r="BU301" s="675"/>
      <c r="BV301" s="665"/>
      <c r="BW301" s="293">
        <v>50.6</v>
      </c>
      <c r="BX301" s="293">
        <v>148</v>
      </c>
      <c r="BY301" s="159">
        <f t="shared" si="330"/>
        <v>32</v>
      </c>
      <c r="BZ301" s="159">
        <f t="shared" si="331"/>
        <v>23.3125</v>
      </c>
      <c r="CA301" s="490">
        <v>116</v>
      </c>
      <c r="CB301" s="490">
        <f t="shared" si="249"/>
        <v>26448.612499999999</v>
      </c>
      <c r="CC301" s="208">
        <f t="shared" si="320"/>
        <v>797.265625</v>
      </c>
      <c r="CD301" s="208">
        <f t="shared" si="321"/>
        <v>33.219401041666664</v>
      </c>
      <c r="CE301" s="985">
        <f t="shared" si="332"/>
        <v>878.60951502595731</v>
      </c>
      <c r="CF301" s="180"/>
      <c r="CG301" s="180">
        <f>CC301/(AVERAGE(BY301)*AVERAGE((D$276,D$274,D$290,D$262,D$296,D$255,D$261,D$283,D$289,D$282))*0.01)</f>
        <v>670.46692091630791</v>
      </c>
      <c r="CH301" s="433">
        <f t="shared" si="297"/>
        <v>1.0687206769436997</v>
      </c>
      <c r="CI301" s="293"/>
      <c r="CJ301" s="293"/>
      <c r="CK301" s="293"/>
      <c r="CL301" s="293"/>
      <c r="CM301" s="293"/>
      <c r="CN301" s="676"/>
    </row>
    <row r="302" spans="1:92" s="933" customFormat="1" ht="15">
      <c r="A302" s="880">
        <f t="shared" si="292"/>
        <v>41457</v>
      </c>
      <c r="B302" s="881">
        <v>0.33333333333333298</v>
      </c>
      <c r="C302" s="882">
        <f t="shared" si="244"/>
        <v>24</v>
      </c>
      <c r="D302" s="920"/>
      <c r="E302" s="921"/>
      <c r="F302" s="921"/>
      <c r="G302" s="921"/>
      <c r="H302" s="921"/>
      <c r="I302" s="921"/>
      <c r="J302" s="922"/>
      <c r="K302" s="922"/>
      <c r="L302" s="923"/>
      <c r="M302" s="922">
        <v>45</v>
      </c>
      <c r="N302" s="921">
        <v>85</v>
      </c>
      <c r="O302" s="924"/>
      <c r="P302" s="925">
        <v>1400</v>
      </c>
      <c r="Q302" s="934">
        <f>P302/((N302-M302)*N$4)</f>
        <v>6.9665605095541396</v>
      </c>
      <c r="R302" s="935">
        <f>10*Q302/(AVERAGE(D$261,D$262))</f>
        <v>23.144719300844319</v>
      </c>
      <c r="S302" s="922"/>
      <c r="T302" s="922"/>
      <c r="U302" s="926"/>
      <c r="V302" s="920"/>
      <c r="W302" s="921"/>
      <c r="X302" s="921"/>
      <c r="Y302" s="921"/>
      <c r="Z302" s="921"/>
      <c r="AA302" s="922"/>
      <c r="AB302" s="922"/>
      <c r="AC302" s="923"/>
      <c r="AD302" s="974"/>
      <c r="AE302" s="974"/>
      <c r="AF302" s="974"/>
      <c r="AG302" s="464"/>
      <c r="AH302" s="464"/>
      <c r="AI302" s="975"/>
      <c r="AJ302" s="976"/>
      <c r="AK302" s="920"/>
      <c r="AL302" s="921">
        <v>35.299999999999997</v>
      </c>
      <c r="AM302" s="921">
        <v>276</v>
      </c>
      <c r="AN302" s="895">
        <f t="shared" si="327"/>
        <v>60.480000000000004</v>
      </c>
      <c r="AO302" s="896">
        <f t="shared" si="328"/>
        <v>23.363095238095237</v>
      </c>
      <c r="AP302" s="929">
        <v>206</v>
      </c>
      <c r="AQ302" s="490">
        <f t="shared" si="298"/>
        <v>12129.721875000001</v>
      </c>
      <c r="AR302" s="883">
        <f t="shared" si="316"/>
        <v>1206.9375</v>
      </c>
      <c r="AS302" s="884">
        <f t="shared" si="317"/>
        <v>50.2890625</v>
      </c>
      <c r="AT302" s="208">
        <f t="shared" si="329"/>
        <v>703.74583865326974</v>
      </c>
      <c r="AU302" s="585"/>
      <c r="AV302" s="230">
        <f t="shared" si="326"/>
        <v>537.02844947631013</v>
      </c>
      <c r="AW302" s="855">
        <f t="shared" si="323"/>
        <v>0.85416666666666663</v>
      </c>
      <c r="AX302" s="921"/>
      <c r="AY302" s="921"/>
      <c r="AZ302" s="921"/>
      <c r="BA302" s="921"/>
      <c r="BB302" s="921"/>
      <c r="BC302" s="923" t="s">
        <v>160</v>
      </c>
      <c r="BD302" s="928"/>
      <c r="BE302" s="928"/>
      <c r="BF302" s="930"/>
      <c r="BG302" s="920"/>
      <c r="BH302" s="921"/>
      <c r="BI302" s="921"/>
      <c r="BJ302" s="921"/>
      <c r="BK302" s="921"/>
      <c r="BL302" s="922"/>
      <c r="BM302" s="922"/>
      <c r="BN302" s="923"/>
      <c r="BO302" s="927"/>
      <c r="BP302" s="927"/>
      <c r="BQ302" s="927"/>
      <c r="BR302" s="921"/>
      <c r="BS302" s="928"/>
      <c r="BT302" s="921"/>
      <c r="BU302" s="931"/>
      <c r="BV302" s="920"/>
      <c r="BW302" s="921">
        <v>50.6</v>
      </c>
      <c r="BX302" s="921">
        <v>165</v>
      </c>
      <c r="BY302" s="907">
        <f t="shared" si="330"/>
        <v>34</v>
      </c>
      <c r="BZ302" s="907">
        <f t="shared" si="331"/>
        <v>21.941176470588236</v>
      </c>
      <c r="CA302" s="883">
        <v>128</v>
      </c>
      <c r="CB302" s="883">
        <f t="shared" si="249"/>
        <v>27184.55</v>
      </c>
      <c r="CC302" s="885">
        <f t="shared" si="320"/>
        <v>735.9375</v>
      </c>
      <c r="CD302" s="885">
        <f t="shared" si="321"/>
        <v>30.6640625</v>
      </c>
      <c r="CE302" s="985">
        <f t="shared" si="332"/>
        <v>786.44767778547225</v>
      </c>
      <c r="CF302" s="180"/>
      <c r="CG302" s="180">
        <f>CC302/(AVERAGE(BY302)*AVERAGE((D$276,D$274,D$290,D$262,D$296,D$255,D$261,D$283,D$289,D$282))*0.01)</f>
        <v>582.4870987146204</v>
      </c>
      <c r="CH302" s="908">
        <f t="shared" si="297"/>
        <v>0.98651139410187672</v>
      </c>
      <c r="CI302" s="921"/>
      <c r="CJ302" s="921"/>
      <c r="CK302" s="921"/>
      <c r="CL302" s="921"/>
      <c r="CM302" s="921"/>
      <c r="CN302" s="932" t="s">
        <v>160</v>
      </c>
    </row>
    <row r="303" spans="1:92" s="94" customFormat="1">
      <c r="A303" s="141">
        <f t="shared" si="292"/>
        <v>41458</v>
      </c>
      <c r="B303" s="307">
        <v>0.33333333333333298</v>
      </c>
      <c r="C303" s="304">
        <f t="shared" si="244"/>
        <v>24</v>
      </c>
      <c r="D303" s="97"/>
      <c r="E303" s="98"/>
      <c r="F303" s="81"/>
      <c r="G303" s="98"/>
      <c r="H303" s="98"/>
      <c r="I303" s="81"/>
      <c r="J303" s="257"/>
      <c r="K303" s="257"/>
      <c r="L303" s="99"/>
      <c r="M303" s="157"/>
      <c r="N303" s="98"/>
      <c r="O303" s="268"/>
      <c r="P303" s="97"/>
      <c r="Q303" s="98"/>
      <c r="R303" s="100"/>
      <c r="S303" s="157"/>
      <c r="T303" s="157"/>
      <c r="U303" s="236"/>
      <c r="V303" s="97"/>
      <c r="W303" s="98"/>
      <c r="X303" s="98"/>
      <c r="Y303" s="98"/>
      <c r="Z303" s="98"/>
      <c r="AA303" s="157"/>
      <c r="AB303" s="157"/>
      <c r="AC303" s="99"/>
      <c r="AD303" s="977"/>
      <c r="AE303" s="978"/>
      <c r="AF303" s="979"/>
      <c r="AG303" s="979"/>
      <c r="AH303" s="978"/>
      <c r="AI303" s="980"/>
      <c r="AJ303" s="980"/>
      <c r="AK303" s="97"/>
      <c r="AL303" s="98">
        <v>35.5</v>
      </c>
      <c r="AM303" s="98">
        <v>8</v>
      </c>
      <c r="AN303" s="853"/>
      <c r="AO303" s="854"/>
      <c r="AP303" s="81">
        <v>3</v>
      </c>
      <c r="AQ303" s="76">
        <f>((AP303)*AQ$2)</f>
        <v>181.04062500000001</v>
      </c>
      <c r="AR303" s="76"/>
      <c r="AS303" s="230"/>
      <c r="AT303" s="208"/>
      <c r="AU303" s="585"/>
      <c r="AV303" s="230"/>
      <c r="AW303" s="855"/>
      <c r="AX303" s="98">
        <v>66.7</v>
      </c>
      <c r="AY303" s="98">
        <v>30.5</v>
      </c>
      <c r="AZ303" s="98">
        <v>0</v>
      </c>
      <c r="BA303" s="98">
        <v>33</v>
      </c>
      <c r="BB303" s="98">
        <v>55</v>
      </c>
      <c r="BC303" s="99"/>
      <c r="BD303" s="156"/>
      <c r="BE303" s="156"/>
      <c r="BF303" s="157"/>
      <c r="BG303" s="97"/>
      <c r="BH303" s="98"/>
      <c r="BI303" s="98"/>
      <c r="BJ303" s="98"/>
      <c r="BK303" s="98"/>
      <c r="BL303" s="257"/>
      <c r="BM303" s="257"/>
      <c r="BN303" s="99"/>
      <c r="BO303" s="913"/>
      <c r="BP303" s="866"/>
      <c r="BQ303" s="914"/>
      <c r="BR303" s="915"/>
      <c r="BS303" s="916"/>
      <c r="BT303" s="917"/>
      <c r="BU303" s="918"/>
      <c r="BV303" s="97"/>
      <c r="BW303" s="98">
        <v>50.7</v>
      </c>
      <c r="BX303" s="98">
        <v>2</v>
      </c>
      <c r="BY303" s="159"/>
      <c r="BZ303" s="159"/>
      <c r="CA303" s="199">
        <v>6</v>
      </c>
      <c r="CB303" s="76">
        <f t="shared" si="249"/>
        <v>19702.518749999999</v>
      </c>
      <c r="CC303" s="208"/>
      <c r="CD303" s="208"/>
      <c r="CE303" s="985"/>
      <c r="CF303" s="180"/>
      <c r="CG303" s="180"/>
      <c r="CH303" s="433"/>
      <c r="CI303" s="98">
        <v>69.599999999999994</v>
      </c>
      <c r="CJ303" s="98">
        <v>30.1</v>
      </c>
      <c r="CK303" s="98">
        <v>0</v>
      </c>
      <c r="CL303" s="98">
        <v>89</v>
      </c>
      <c r="CM303" s="98">
        <v>130</v>
      </c>
      <c r="CN303" s="950" t="s">
        <v>159</v>
      </c>
    </row>
    <row r="304" spans="1:92" s="949" customFormat="1" ht="15">
      <c r="A304" s="309">
        <f t="shared" si="292"/>
        <v>41459</v>
      </c>
      <c r="B304" s="310">
        <v>0.33333333333333298</v>
      </c>
      <c r="C304" s="311">
        <f t="shared" si="244"/>
        <v>24</v>
      </c>
      <c r="D304" s="955">
        <v>4</v>
      </c>
      <c r="E304" s="956">
        <v>75.099999999999994</v>
      </c>
      <c r="F304" s="938">
        <v>48200</v>
      </c>
      <c r="G304" s="937"/>
      <c r="H304" s="937">
        <v>45.2</v>
      </c>
      <c r="I304" s="938">
        <v>9432</v>
      </c>
      <c r="J304" s="939">
        <v>4929</v>
      </c>
      <c r="K304" s="939">
        <v>47</v>
      </c>
      <c r="L304" s="940">
        <v>202</v>
      </c>
      <c r="M304" s="941">
        <v>50</v>
      </c>
      <c r="N304" s="937">
        <v>85</v>
      </c>
      <c r="O304" s="942"/>
      <c r="P304" s="943">
        <v>1400</v>
      </c>
      <c r="Q304" s="764">
        <f>P304/((N304-M304)*N$4)</f>
        <v>7.9617834394904454</v>
      </c>
      <c r="R304" s="765">
        <f>10*Q304/(AVERAGE(D$261,D$262))</f>
        <v>26.451107772393506</v>
      </c>
      <c r="S304" s="941"/>
      <c r="T304" s="941"/>
      <c r="U304" s="944"/>
      <c r="V304" s="955">
        <v>2.4</v>
      </c>
      <c r="W304" s="956">
        <v>63.8</v>
      </c>
      <c r="X304" s="937">
        <v>24800</v>
      </c>
      <c r="Y304" s="937">
        <v>35</v>
      </c>
      <c r="Z304" s="937">
        <v>2379</v>
      </c>
      <c r="AA304" s="941">
        <v>797</v>
      </c>
      <c r="AB304" s="941">
        <v>71</v>
      </c>
      <c r="AC304" s="940">
        <v>137</v>
      </c>
      <c r="AD304" s="752">
        <f>D296*(100-E296)/(100-W304)</f>
        <v>2.5425414364640875</v>
      </c>
      <c r="AE304" s="753">
        <f>D296-V304</f>
        <v>1.5</v>
      </c>
      <c r="AF304" s="864">
        <f>100*(AVERAGE(D$276,D$274,D$290,D$262,D$296,D$304,D$261,D$283,D$289,D$282)-V304)/AVERAGE(D$276,D$274,D$290,D$262,D$296,D$304,D$261,D$283,D$289,D$282)</f>
        <v>36.775553213909369</v>
      </c>
      <c r="AG304" s="864">
        <f>100*(1-((100-AVERAGE(E$276,E$274,E$290,E$262,E$296,E$304,E$261,E$283,E$289,E$282))/(100-W304)))</f>
        <v>34.7513812154696</v>
      </c>
      <c r="AH304" s="753">
        <f>E296-W304</f>
        <v>12.600000000000009</v>
      </c>
      <c r="AI304" s="847">
        <f>100*(1-((V304*W304)/(AVERAGE(D$276,D$274,D$290,D$262,D$296,D$304,D$261,D$283,D$289,D$282)*AVERAGE(E$276,E$274,E$290,E$262,E$296,E$304,E$261,E$283,E$289,E$282))))</f>
        <v>47.188796740605099</v>
      </c>
      <c r="AJ304" s="847">
        <f>100*100*((AVERAGE(E$276,E$274,E$290,E$262,E$296,E$304,E$261,E$283,E$289,E$282)-W304)/((100-W304)*AVERAGE(E$276,E$274,E$290,E$262,E$296,E$304,E$261,E$283,E$289,E$282)))</f>
        <v>45.498011541594146</v>
      </c>
      <c r="AK304" s="936"/>
      <c r="AL304" s="937">
        <v>35.4</v>
      </c>
      <c r="AM304" s="937">
        <v>47</v>
      </c>
      <c r="AN304" s="846">
        <f t="shared" si="327"/>
        <v>84.240000000000009</v>
      </c>
      <c r="AO304" s="847">
        <f t="shared" si="328"/>
        <v>16.773504273504273</v>
      </c>
      <c r="AP304" s="938">
        <v>29</v>
      </c>
      <c r="AQ304" s="348">
        <f>((AP304-AP$303)*AQ$2)</f>
        <v>1569.0187500000002</v>
      </c>
      <c r="AR304" s="348">
        <f t="shared" si="316"/>
        <v>1387.9781250000001</v>
      </c>
      <c r="AS304" s="512">
        <f t="shared" si="317"/>
        <v>57.832421875000001</v>
      </c>
      <c r="AT304" s="334">
        <f>AR304/(AVERAGE(AN304)*(AVERAGE(D$276,D$274,D$290,D$262,D$296,D$304,D$261,D$283,D$289,D$282))*AVERAGE(E$276,E$274,E$290,E$262,E$296,E$304,E$261,E$283,E$289,E$282)*0.0001)</f>
        <v>568.27481018252456</v>
      </c>
      <c r="AU304" s="348"/>
      <c r="AV304" s="512">
        <f>AR304/(AVERAGE(AN304)*AVERAGE(D$276,D$274,D$290,D$262,D$296,D$304,D$261,D$283,D$289,D$282)*0.01)</f>
        <v>434.04830001741226</v>
      </c>
      <c r="AW304" s="848">
        <f t="shared" si="323"/>
        <v>0.98229166666666679</v>
      </c>
      <c r="AX304" s="946"/>
      <c r="AY304" s="946"/>
      <c r="AZ304" s="946"/>
      <c r="BA304" s="946"/>
      <c r="BB304" s="946"/>
      <c r="BC304" s="940"/>
      <c r="BD304" s="947"/>
      <c r="BE304" s="947"/>
      <c r="BF304" s="944"/>
      <c r="BG304" s="955">
        <v>2.4</v>
      </c>
      <c r="BH304" s="956">
        <v>62.3</v>
      </c>
      <c r="BI304" s="937">
        <v>24900</v>
      </c>
      <c r="BJ304" s="937">
        <v>30.8</v>
      </c>
      <c r="BK304" s="937">
        <v>2657</v>
      </c>
      <c r="BL304" s="939">
        <v>578</v>
      </c>
      <c r="BM304" s="939">
        <v>84</v>
      </c>
      <c r="BN304" s="940">
        <v>111</v>
      </c>
      <c r="BO304" s="859">
        <f>D296*(100-E296)/(100-BH304)</f>
        <v>2.4413793103448267</v>
      </c>
      <c r="BP304" s="753">
        <f>D296-BG304</f>
        <v>1.5</v>
      </c>
      <c r="BQ304" s="860">
        <f>100*(AVERAGE(D$276,D$274,D$290,D$262,D$296,D$304,D$261,D$283,D$289,D$282)-BG304)/AVERAGE(D$276,D$274,D$290,D$262,D$296,D$304,D$261,D$283,D$289,D$282)</f>
        <v>36.775553213909369</v>
      </c>
      <c r="BR304" s="861">
        <f>100*(1-((100-AVERAGE(E$276,E$274,E$290,E$262,E$296,E$304,E$261,E$283,E$289,E$282))/(100-BH304)))</f>
        <v>37.347480106100782</v>
      </c>
      <c r="BS304" s="858">
        <f>E296-BH304</f>
        <v>14.100000000000009</v>
      </c>
      <c r="BT304" s="862">
        <f>100*(1-((BG304*BH304)/(AVERAGE(D$276,D$274,D$290,D$262,D$296,D$304,D$261,D$283,D$289,D$282)*AVERAGE(E$276,E$274,E$290,E$262,E$296,E$304,E$261,E$283,E$289,E$282))))</f>
        <v>48.430439450465478</v>
      </c>
      <c r="BU304" s="863">
        <f>100*100*((AVERAGE(E$276,E$274,E$290,E$262,E$296,E$304,E$261,E$283,E$289,E$282)-BH304)/((100-BH304)*AVERAGE(E$276,E$274,E$290,E$262,E$296,E$304,E$261,E$283,E$289,E$282)))</f>
        <v>48.896936509689439</v>
      </c>
      <c r="BV304" s="936"/>
      <c r="BW304" s="937">
        <v>50.6</v>
      </c>
      <c r="BX304" s="937">
        <v>18</v>
      </c>
      <c r="BY304" s="462">
        <f t="shared" si="330"/>
        <v>32</v>
      </c>
      <c r="BZ304" s="462">
        <f t="shared" si="331"/>
        <v>23.3125</v>
      </c>
      <c r="CA304" s="938">
        <v>18</v>
      </c>
      <c r="CB304" s="348">
        <f t="shared" si="249"/>
        <v>20438.456249999999</v>
      </c>
      <c r="CC304" s="334">
        <f t="shared" si="320"/>
        <v>735.9375</v>
      </c>
      <c r="CD304" s="334">
        <f t="shared" si="321"/>
        <v>30.6640625</v>
      </c>
      <c r="CE304" s="984">
        <f>CC304/(AVERAGE(BY303,BY304)*(AVERAGE(D$276,D$274,D$290,D$262,D$296,D$304,D$261,D$283,D$289,D$282))*AVERAGE(E$276,E$274,E$290,E$262,E$296,E$304,E$261,E$283,E$289,E$282)*0.0001)</f>
        <v>793.20436787141898</v>
      </c>
      <c r="CF304" s="313"/>
      <c r="CG304" s="441">
        <f>CC304/(AVERAGE(BY304)*AVERAGE((D$276,D$274,D$290,D$262,D$296,D$304,D$261,D$283,D$289,D$282))*0.01)</f>
        <v>605.84949618018982</v>
      </c>
      <c r="CH304" s="477">
        <f t="shared" si="297"/>
        <v>0.98651139410187672</v>
      </c>
      <c r="CI304" s="946"/>
      <c r="CJ304" s="946"/>
      <c r="CK304" s="946"/>
      <c r="CL304" s="946"/>
      <c r="CM304" s="946"/>
      <c r="CN304" s="948"/>
    </row>
    <row r="305" spans="1:92" s="94" customFormat="1">
      <c r="A305" s="141">
        <f t="shared" si="292"/>
        <v>41460</v>
      </c>
      <c r="B305" s="307">
        <v>0.33333333333333298</v>
      </c>
      <c r="C305" s="304">
        <f t="shared" si="244"/>
        <v>24</v>
      </c>
      <c r="D305" s="65"/>
      <c r="E305" s="66"/>
      <c r="F305" s="66"/>
      <c r="G305" s="66"/>
      <c r="H305" s="66"/>
      <c r="I305" s="66"/>
      <c r="J305" s="86"/>
      <c r="K305" s="86"/>
      <c r="L305" s="63"/>
      <c r="M305" s="86"/>
      <c r="N305" s="66"/>
      <c r="O305" s="265"/>
      <c r="P305" s="65"/>
      <c r="Q305" s="66"/>
      <c r="R305" s="67"/>
      <c r="S305" s="86"/>
      <c r="T305" s="86"/>
      <c r="U305" s="232"/>
      <c r="V305" s="65"/>
      <c r="W305" s="66"/>
      <c r="X305" s="66"/>
      <c r="Y305" s="66"/>
      <c r="Z305" s="66"/>
      <c r="AA305" s="86"/>
      <c r="AB305" s="86"/>
      <c r="AC305" s="63"/>
      <c r="AD305" s="981"/>
      <c r="AE305" s="981"/>
      <c r="AF305" s="981"/>
      <c r="AG305" s="364"/>
      <c r="AH305" s="364"/>
      <c r="AI305" s="982"/>
      <c r="AJ305" s="983"/>
      <c r="AK305" s="65"/>
      <c r="AL305" s="66">
        <v>35</v>
      </c>
      <c r="AM305" s="66">
        <v>73</v>
      </c>
      <c r="AN305" s="853">
        <f t="shared" si="327"/>
        <v>56.160000000000004</v>
      </c>
      <c r="AO305" s="854">
        <f t="shared" si="328"/>
        <v>25.160256410256409</v>
      </c>
      <c r="AP305" s="72">
        <v>48</v>
      </c>
      <c r="AQ305" s="490">
        <f>((AP305-AP$303)*AQ$2)</f>
        <v>2715.609375</v>
      </c>
      <c r="AR305" s="76">
        <f t="shared" si="316"/>
        <v>1146.5906249999998</v>
      </c>
      <c r="AS305" s="230">
        <f t="shared" si="317"/>
        <v>47.77460937499999</v>
      </c>
      <c r="AT305" s="208">
        <f t="shared" ref="AT305:AT307" si="333">AR305/(AVERAGE(AN305)*(AVERAGE(D$276,D$274,D$290,D$262,D$296,D$304,D$261,D$283,D$289,D$282))*AVERAGE(E$276,E$274,E$290,E$262,E$296,E$304,E$261,E$283,E$289,E$282)*0.0001)</f>
        <v>704.16661261747606</v>
      </c>
      <c r="AU305" s="585"/>
      <c r="AV305" s="230">
        <f t="shared" ref="AV305:AV307" si="334">AR305/(AVERAGE(AN305)*AVERAGE(D$276,D$274,D$290,D$262,D$296,D$304,D$261,D$283,D$289,D$282)*0.01)</f>
        <v>537.84245871722817</v>
      </c>
      <c r="AW305" s="855">
        <f t="shared" si="323"/>
        <v>0.81145833333333317</v>
      </c>
      <c r="BC305" s="63"/>
      <c r="BD305" s="64"/>
      <c r="BE305" s="64"/>
      <c r="BF305" s="232"/>
      <c r="BG305" s="65"/>
      <c r="BH305" s="66"/>
      <c r="BI305" s="66"/>
      <c r="BJ305" s="66"/>
      <c r="BK305" s="66"/>
      <c r="BL305" s="86"/>
      <c r="BM305" s="86"/>
      <c r="BN305" s="63"/>
      <c r="BO305" s="87"/>
      <c r="BP305" s="87"/>
      <c r="BQ305" s="87"/>
      <c r="BR305" s="66"/>
      <c r="BS305" s="64"/>
      <c r="BT305" s="66"/>
      <c r="BU305" s="67"/>
      <c r="BV305" s="65"/>
      <c r="BW305" s="66">
        <v>50.6</v>
      </c>
      <c r="BX305" s="66">
        <v>39</v>
      </c>
      <c r="BY305" s="159">
        <f t="shared" si="330"/>
        <v>42</v>
      </c>
      <c r="BZ305" s="159">
        <f t="shared" si="331"/>
        <v>17.761904761904763</v>
      </c>
      <c r="CA305" s="76">
        <v>27</v>
      </c>
      <c r="CB305" s="490">
        <f t="shared" si="249"/>
        <v>20990.409374999999</v>
      </c>
      <c r="CC305" s="208">
        <f t="shared" si="320"/>
        <v>551.953125</v>
      </c>
      <c r="CD305" s="208">
        <f t="shared" si="321"/>
        <v>22.998046875</v>
      </c>
      <c r="CE305" s="985">
        <f t="shared" ref="CE305:CE307" si="335">CC305/(AVERAGE(BY304,BY305)*(AVERAGE(D$276,D$274,D$290,D$262,D$296,D$304,D$261,D$283,D$289,D$282))*AVERAGE(E$276,E$274,E$290,E$262,E$296,E$304,E$261,E$283,E$289,E$282)*0.0001)</f>
        <v>514.51094132200149</v>
      </c>
      <c r="CF305" s="180"/>
      <c r="CG305" s="180">
        <f>CC305/(AVERAGE(BY305)*AVERAGE((D$276,D$274,D$290,D$262,D$296,D$304,D$261,D$283,D$289,D$282))*0.01)</f>
        <v>346.19971210296558</v>
      </c>
      <c r="CH305" s="433">
        <f t="shared" si="297"/>
        <v>0.73988354557640745</v>
      </c>
      <c r="CN305" s="116"/>
    </row>
    <row r="306" spans="1:92" s="677" customFormat="1" ht="15">
      <c r="A306" s="141">
        <f t="shared" si="292"/>
        <v>41461</v>
      </c>
      <c r="B306" s="307">
        <v>0.33333333333333298</v>
      </c>
      <c r="C306" s="304">
        <f t="shared" si="244"/>
        <v>24</v>
      </c>
      <c r="D306" s="665"/>
      <c r="E306" s="293"/>
      <c r="F306" s="293"/>
      <c r="G306" s="293"/>
      <c r="H306" s="293"/>
      <c r="I306" s="293"/>
      <c r="J306" s="666"/>
      <c r="K306" s="666"/>
      <c r="L306" s="299"/>
      <c r="M306" s="666">
        <v>55</v>
      </c>
      <c r="N306" s="293">
        <v>85</v>
      </c>
      <c r="O306" s="667"/>
      <c r="P306" s="773">
        <v>1050</v>
      </c>
      <c r="Q306" s="210">
        <f>P306/((N306-M306)*N$4)</f>
        <v>6.9665605095541405</v>
      </c>
      <c r="R306" s="225">
        <f>10*Q306/(AVERAGE(D$261,D$262))</f>
        <v>23.144719300844322</v>
      </c>
      <c r="S306" s="666"/>
      <c r="T306" s="666"/>
      <c r="U306" s="777"/>
      <c r="V306" s="665"/>
      <c r="W306" s="293"/>
      <c r="X306" s="293"/>
      <c r="Y306" s="293"/>
      <c r="Z306" s="293"/>
      <c r="AA306" s="666"/>
      <c r="AB306" s="666"/>
      <c r="AC306" s="299"/>
      <c r="AD306" s="965"/>
      <c r="AE306" s="965"/>
      <c r="AF306" s="965"/>
      <c r="AG306" s="966"/>
      <c r="AH306" s="966"/>
      <c r="AI306" s="967"/>
      <c r="AJ306" s="968"/>
      <c r="AK306" s="665"/>
      <c r="AL306" s="293">
        <v>35.299999999999997</v>
      </c>
      <c r="AM306" s="293">
        <v>103</v>
      </c>
      <c r="AN306" s="853">
        <f t="shared" si="327"/>
        <v>64.800000000000011</v>
      </c>
      <c r="AO306" s="854">
        <f t="shared" si="328"/>
        <v>21.80555555555555</v>
      </c>
      <c r="AP306" s="301">
        <v>69</v>
      </c>
      <c r="AQ306" s="490">
        <f t="shared" ref="AQ306:AQ369" si="336">((AP306-AP$303)*AQ$2)</f>
        <v>3982.8937500000002</v>
      </c>
      <c r="AR306" s="76">
        <f t="shared" si="316"/>
        <v>1267.2843750000002</v>
      </c>
      <c r="AS306" s="230">
        <f t="shared" si="317"/>
        <v>52.80351562500001</v>
      </c>
      <c r="AT306" s="208">
        <f t="shared" si="333"/>
        <v>674.51749208621402</v>
      </c>
      <c r="AU306" s="585"/>
      <c r="AV306" s="230">
        <f t="shared" si="334"/>
        <v>515.19646045545016</v>
      </c>
      <c r="AW306" s="855">
        <f t="shared" si="323"/>
        <v>0.89687500000000009</v>
      </c>
      <c r="AX306" s="293"/>
      <c r="AY306" s="293"/>
      <c r="AZ306" s="293"/>
      <c r="BA306" s="293"/>
      <c r="BB306" s="293"/>
      <c r="BC306" s="299"/>
      <c r="BD306" s="671"/>
      <c r="BE306" s="671"/>
      <c r="BF306" s="777"/>
      <c r="BG306" s="665"/>
      <c r="BH306" s="293"/>
      <c r="BI306" s="293"/>
      <c r="BJ306" s="293"/>
      <c r="BK306" s="293"/>
      <c r="BL306" s="666"/>
      <c r="BM306" s="666"/>
      <c r="BN306" s="299"/>
      <c r="BO306" s="298"/>
      <c r="BP306" s="298"/>
      <c r="BQ306" s="298"/>
      <c r="BR306" s="293"/>
      <c r="BS306" s="671"/>
      <c r="BT306" s="293"/>
      <c r="BU306" s="675"/>
      <c r="BV306" s="665"/>
      <c r="BW306" s="293">
        <v>50.6</v>
      </c>
      <c r="BX306" s="293">
        <v>55</v>
      </c>
      <c r="BY306" s="159">
        <f t="shared" si="330"/>
        <v>32</v>
      </c>
      <c r="BZ306" s="159">
        <f t="shared" si="331"/>
        <v>23.3125</v>
      </c>
      <c r="CA306" s="490">
        <v>40</v>
      </c>
      <c r="CB306" s="490">
        <f t="shared" si="249"/>
        <v>21787.674999999999</v>
      </c>
      <c r="CC306" s="208">
        <f t="shared" si="320"/>
        <v>797.265625</v>
      </c>
      <c r="CD306" s="208">
        <f t="shared" si="321"/>
        <v>33.219401041666664</v>
      </c>
      <c r="CE306" s="985">
        <f t="shared" si="335"/>
        <v>743.1824707984465</v>
      </c>
      <c r="CF306" s="180"/>
      <c r="CG306" s="180">
        <f>CC306/(AVERAGE(BY306)*AVERAGE((D$276,D$274,D$290,D$262,D$296,D$304,D$261,D$283,D$289,D$282))*0.01)</f>
        <v>656.33695419520564</v>
      </c>
      <c r="CH306" s="433">
        <f t="shared" si="297"/>
        <v>1.0687206769436997</v>
      </c>
      <c r="CI306" s="66"/>
      <c r="CJ306" s="293"/>
      <c r="CK306" s="293"/>
      <c r="CL306" s="293"/>
      <c r="CM306" s="293"/>
      <c r="CN306" s="676"/>
    </row>
    <row r="307" spans="1:92" s="677" customFormat="1" ht="15">
      <c r="A307" s="141">
        <f t="shared" si="292"/>
        <v>41462</v>
      </c>
      <c r="B307" s="663">
        <v>0.33333333333333298</v>
      </c>
      <c r="C307" s="304">
        <f t="shared" si="244"/>
        <v>24</v>
      </c>
      <c r="D307" s="665"/>
      <c r="E307" s="293"/>
      <c r="F307" s="293"/>
      <c r="G307" s="293"/>
      <c r="H307" s="293"/>
      <c r="I307" s="293"/>
      <c r="J307" s="666"/>
      <c r="K307" s="666"/>
      <c r="L307" s="299"/>
      <c r="M307" s="666"/>
      <c r="N307" s="293"/>
      <c r="O307" s="667"/>
      <c r="P307" s="773"/>
      <c r="Q307" s="210"/>
      <c r="R307" s="225"/>
      <c r="S307" s="666"/>
      <c r="T307" s="666"/>
      <c r="U307" s="777"/>
      <c r="V307" s="665"/>
      <c r="W307" s="293"/>
      <c r="X307" s="293"/>
      <c r="Y307" s="293"/>
      <c r="Z307" s="293"/>
      <c r="AA307" s="666"/>
      <c r="AB307" s="666"/>
      <c r="AC307" s="299"/>
      <c r="AD307" s="965"/>
      <c r="AE307" s="965"/>
      <c r="AF307" s="965"/>
      <c r="AG307" s="966"/>
      <c r="AH307" s="966"/>
      <c r="AI307" s="967"/>
      <c r="AJ307" s="968"/>
      <c r="AK307" s="665"/>
      <c r="AL307" s="293">
        <v>35.299999999999997</v>
      </c>
      <c r="AM307" s="293">
        <v>130</v>
      </c>
      <c r="AN307" s="853">
        <f t="shared" si="327"/>
        <v>58.320000000000007</v>
      </c>
      <c r="AO307" s="854">
        <f t="shared" si="328"/>
        <v>24.228395061728392</v>
      </c>
      <c r="AP307" s="301">
        <v>88</v>
      </c>
      <c r="AQ307" s="490">
        <f t="shared" si="336"/>
        <v>5129.484375</v>
      </c>
      <c r="AR307" s="76">
        <f t="shared" si="316"/>
        <v>1146.5906249999998</v>
      </c>
      <c r="AS307" s="230">
        <f t="shared" si="317"/>
        <v>47.77460937499999</v>
      </c>
      <c r="AT307" s="208">
        <f t="shared" si="333"/>
        <v>678.08636770571763</v>
      </c>
      <c r="AU307" s="585"/>
      <c r="AV307" s="230">
        <f t="shared" si="334"/>
        <v>517.92236765362713</v>
      </c>
      <c r="AW307" s="855">
        <f t="shared" si="323"/>
        <v>0.81145833333333317</v>
      </c>
      <c r="AX307" s="293"/>
      <c r="AY307" s="293"/>
      <c r="AZ307" s="293"/>
      <c r="BA307" s="293"/>
      <c r="BB307" s="293"/>
      <c r="BC307" s="299"/>
      <c r="BD307" s="671"/>
      <c r="BE307" s="671"/>
      <c r="BF307" s="777"/>
      <c r="BG307" s="665"/>
      <c r="BH307" s="293"/>
      <c r="BI307" s="293"/>
      <c r="BJ307" s="293"/>
      <c r="BK307" s="293"/>
      <c r="BL307" s="666"/>
      <c r="BM307" s="666"/>
      <c r="BN307" s="299"/>
      <c r="BO307" s="298"/>
      <c r="BP307" s="298"/>
      <c r="BQ307" s="298"/>
      <c r="BR307" s="293"/>
      <c r="BS307" s="671"/>
      <c r="BT307" s="293"/>
      <c r="BU307" s="675"/>
      <c r="BV307" s="665"/>
      <c r="BW307" s="293">
        <v>50.6</v>
      </c>
      <c r="BX307" s="293">
        <v>71</v>
      </c>
      <c r="BY307" s="159">
        <f t="shared" si="330"/>
        <v>32</v>
      </c>
      <c r="BZ307" s="159">
        <f t="shared" si="331"/>
        <v>23.3125</v>
      </c>
      <c r="CA307" s="490">
        <v>51</v>
      </c>
      <c r="CB307" s="490">
        <f t="shared" si="249"/>
        <v>22462.284374999999</v>
      </c>
      <c r="CC307" s="208">
        <f t="shared" si="320"/>
        <v>674.609375</v>
      </c>
      <c r="CD307" s="208">
        <f t="shared" si="321"/>
        <v>28.108723958333332</v>
      </c>
      <c r="CE307" s="985">
        <f t="shared" si="335"/>
        <v>727.10400388213407</v>
      </c>
      <c r="CF307" s="180"/>
      <c r="CG307" s="180">
        <f>CC307/(AVERAGE(BY307)*AVERAGE((D$276,D$274,D$290,D$262,D$296,D$304,D$261,D$283,D$289,D$282))*0.01)</f>
        <v>555.362038165174</v>
      </c>
      <c r="CH307" s="433">
        <f t="shared" si="297"/>
        <v>0.90430211126005366</v>
      </c>
      <c r="CI307" s="66"/>
      <c r="CJ307" s="293"/>
      <c r="CK307" s="293"/>
      <c r="CL307" s="293"/>
      <c r="CM307" s="293"/>
      <c r="CN307" s="676"/>
    </row>
    <row r="308" spans="1:92" s="479" customFormat="1" ht="15">
      <c r="A308" s="475">
        <f t="shared" si="292"/>
        <v>41463</v>
      </c>
      <c r="B308" s="416">
        <v>0.33333333333333298</v>
      </c>
      <c r="C308" s="311">
        <f t="shared" si="244"/>
        <v>24</v>
      </c>
      <c r="D308" s="339">
        <v>3.12</v>
      </c>
      <c r="E308" s="365">
        <v>74.66</v>
      </c>
      <c r="F308" s="452"/>
      <c r="G308" s="452"/>
      <c r="H308" s="452"/>
      <c r="I308" s="452"/>
      <c r="J308" s="471"/>
      <c r="K308" s="471"/>
      <c r="L308" s="476"/>
      <c r="M308" s="471">
        <v>60</v>
      </c>
      <c r="N308" s="452">
        <v>80</v>
      </c>
      <c r="O308" s="472"/>
      <c r="P308" s="951">
        <v>700</v>
      </c>
      <c r="Q308" s="764">
        <f t="shared" ref="Q308:Q317" si="337">P308/((N308-M308)*N$4)</f>
        <v>6.9665605095541396</v>
      </c>
      <c r="R308" s="765">
        <f t="shared" ref="R308:R317" si="338">10*Q308/(AVERAGE(D$261,D$262))</f>
        <v>23.144719300844319</v>
      </c>
      <c r="S308" s="471"/>
      <c r="T308" s="471"/>
      <c r="U308" s="757"/>
      <c r="V308" s="339">
        <v>2.15</v>
      </c>
      <c r="W308" s="365">
        <v>64.42</v>
      </c>
      <c r="X308" s="452"/>
      <c r="Y308" s="452"/>
      <c r="Z308" s="452"/>
      <c r="AA308" s="471"/>
      <c r="AB308" s="471"/>
      <c r="AC308" s="476"/>
      <c r="AD308" s="752">
        <f>D304*(100-E304)/(100-W308)</f>
        <v>2.7993254637436769</v>
      </c>
      <c r="AE308" s="753">
        <f>D304-V308</f>
        <v>1.85</v>
      </c>
      <c r="AF308" s="864">
        <f>100*(AVERAGE(D$276,D$274,D$290,D$262,D$296,D$304,D$308,D$283,D$289,D$282)-V308)/AVERAGE(D$276,D$274,D$290,D$262,D$296,D$304,D$308,D$283,D$289,D$282)</f>
        <v>43.510246978455065</v>
      </c>
      <c r="AG308" s="864">
        <f>100*(1-((100-AVERAGE(E$276,E$274,E$290,E$262,E$296,E$304,E$308,E$283,E$289,E$282))/(100-W308)))</f>
        <v>32.141652613827972</v>
      </c>
      <c r="AH308" s="753">
        <f>E304-W308</f>
        <v>10.679999999999993</v>
      </c>
      <c r="AI308" s="847">
        <f>100*(1-((V308*W308)/(AVERAGE(D$276,D$274,D$290,D$262,D$296,D$304,D$308,D$283,D$289,D$282)*AVERAGE(E$276,E$274,E$290,E$262,E$296,E$304,E$308,E$283,E$289,E$282))))</f>
        <v>52.026604492091266</v>
      </c>
      <c r="AJ308" s="847">
        <f>100*100*((AVERAGE(E$276,E$274,E$290,E$262,E$296,E$304,E$308,E$283,E$289,E$282)-W308)/((100-W308)*AVERAGE(E$276,E$274,E$290,E$262,E$296,E$304,E$308,E$283,E$289,E$282)))</f>
        <v>42.371931836411058</v>
      </c>
      <c r="AK308" s="467"/>
      <c r="AL308" s="452">
        <v>35.4</v>
      </c>
      <c r="AM308" s="452">
        <v>160</v>
      </c>
      <c r="AN308" s="847">
        <f t="shared" si="327"/>
        <v>64.800000000000011</v>
      </c>
      <c r="AO308" s="847">
        <f t="shared" si="328"/>
        <v>21.80555555555555</v>
      </c>
      <c r="AP308" s="441">
        <v>110</v>
      </c>
      <c r="AQ308" s="490">
        <f t="shared" si="336"/>
        <v>6457.1156250000004</v>
      </c>
      <c r="AR308" s="334">
        <f t="shared" si="316"/>
        <v>1327.6312500000004</v>
      </c>
      <c r="AS308" s="512">
        <f t="shared" si="317"/>
        <v>55.317968750000013</v>
      </c>
      <c r="AT308" s="334">
        <f>AR308/(AVERAGE(AN308)*(AVERAGE(D$276,D$274,D$290,D$262,D$296,D$304,D$308,D$283,D$289,D$282))*AVERAGE(E$276,E$274,E$290,E$262,E$296,E$304,E$308,E$283,E$289,E$282)*0.0001)</f>
        <v>709.64923437622724</v>
      </c>
      <c r="AU308" s="348"/>
      <c r="AV308" s="512">
        <f>AR308/(AVERAGE(AN308)*AVERAGE(D$276,D$274,D$290,D$262,D$296,D$304,D$308,D$283,D$289,D$282)*0.01)</f>
        <v>538.31152322843093</v>
      </c>
      <c r="AW308" s="848">
        <f t="shared" si="323"/>
        <v>0.93958333333333355</v>
      </c>
      <c r="AX308" s="452">
        <v>67.2</v>
      </c>
      <c r="AY308" s="452">
        <v>31.3</v>
      </c>
      <c r="AZ308" s="452">
        <v>0</v>
      </c>
      <c r="BA308" s="452">
        <v>65</v>
      </c>
      <c r="BB308" s="452">
        <v>120</v>
      </c>
      <c r="BC308" s="476"/>
      <c r="BD308" s="478"/>
      <c r="BE308" s="478"/>
      <c r="BF308" s="757"/>
      <c r="BG308" s="339">
        <v>2.2200000000000002</v>
      </c>
      <c r="BH308" s="365">
        <v>64.489999999999995</v>
      </c>
      <c r="BI308" s="452"/>
      <c r="BJ308" s="452"/>
      <c r="BK308" s="452"/>
      <c r="BL308" s="471"/>
      <c r="BM308" s="471"/>
      <c r="BN308" s="476"/>
      <c r="BO308" s="859">
        <f>D304*(100-E304)/(100-BH308)</f>
        <v>2.8048437059983105</v>
      </c>
      <c r="BP308" s="753">
        <f>D304-BG308</f>
        <v>1.7799999999999998</v>
      </c>
      <c r="BQ308" s="860">
        <f>100*(AVERAGE(D$276,D$274,D$290,D$262,D$296,D$304,D$308,D$283,D$289,D$282)-BG308)/AVERAGE(D$276,D$274,D$290,D$262,D$296,D$304,D$308,D$283,D$289,D$282)</f>
        <v>41.671045717288479</v>
      </c>
      <c r="BR308" s="861">
        <f>100*(1-((100-AVERAGE(E$276,E$274,E$290,E$262,E$296,E$304,E$308,E$283,E$289,E$282))/(100-BH308)))</f>
        <v>32.007885102787938</v>
      </c>
      <c r="BS308" s="858">
        <f>E304-BH308</f>
        <v>10.61</v>
      </c>
      <c r="BT308" s="862">
        <f>100*(1-((BG308*BH308)/(AVERAGE(D$276,D$274,D$290,D$262,D$296,D$304,D$308,D$283,D$289,D$282)*AVERAGE(E$276,E$274,E$290,E$262,E$296,E$304,E$308,E$283,E$289,E$282))))</f>
        <v>50.410853964194445</v>
      </c>
      <c r="BU308" s="863">
        <f>100*100*((AVERAGE(E$276,E$274,E$290,E$262,E$296,E$304,E$308,E$283,E$289,E$282)-BH308)/((100-BH308)*AVERAGE(E$276,E$274,E$290,E$262,E$296,E$304,E$308,E$283,E$289,E$282)))</f>
        <v>42.195587827973981</v>
      </c>
      <c r="BV308" s="467"/>
      <c r="BW308" s="452">
        <v>50.7</v>
      </c>
      <c r="BX308" s="452">
        <v>90</v>
      </c>
      <c r="BY308" s="462">
        <f t="shared" si="330"/>
        <v>38</v>
      </c>
      <c r="BZ308" s="462">
        <f t="shared" si="331"/>
        <v>19.631578947368421</v>
      </c>
      <c r="CA308" s="334">
        <v>64</v>
      </c>
      <c r="CB308" s="334">
        <f t="shared" si="249"/>
        <v>23259.55</v>
      </c>
      <c r="CC308" s="334">
        <f t="shared" si="320"/>
        <v>797.265625</v>
      </c>
      <c r="CD308" s="334">
        <f t="shared" si="321"/>
        <v>33.219401041666664</v>
      </c>
      <c r="CE308" s="984">
        <f>CC308/(AVERAGE(BY307,BY308)*(AVERAGE(D$276,D$274,D$290,D$262,D$296,D$304,D$308,D$283,D$289,D$282))*AVERAGE(E$276,E$274,E$290,E$262,E$296,E$304,E$308,E$283,E$289,E$282)*0.0001)</f>
        <v>788.99867363337273</v>
      </c>
      <c r="CF308" s="313"/>
      <c r="CG308" s="441">
        <f>CC308/(AVERAGE(BY308)*AVERAGE((D$276,D$274,D$290,D$262,D$296,D$304,D$308,D$283,D$289,D$282))*0.01)</f>
        <v>551.25261014464706</v>
      </c>
      <c r="CH308" s="604">
        <f t="shared" si="297"/>
        <v>1.0687206769436997</v>
      </c>
      <c r="CI308" s="452">
        <v>68.400000000000006</v>
      </c>
      <c r="CJ308" s="452">
        <v>25.8</v>
      </c>
      <c r="CK308" s="452">
        <v>0</v>
      </c>
      <c r="CL308" s="452">
        <v>75</v>
      </c>
      <c r="CM308" s="452">
        <v>65</v>
      </c>
      <c r="CN308" s="605"/>
    </row>
    <row r="309" spans="1:92" s="677" customFormat="1" ht="15">
      <c r="A309" s="141">
        <f t="shared" si="292"/>
        <v>41464</v>
      </c>
      <c r="B309" s="663">
        <v>0.33333333333333331</v>
      </c>
      <c r="C309" s="304">
        <f t="shared" si="244"/>
        <v>24.000000000000011</v>
      </c>
      <c r="D309" s="665"/>
      <c r="E309" s="293"/>
      <c r="F309" s="293"/>
      <c r="G309" s="293"/>
      <c r="H309" s="293"/>
      <c r="I309" s="293"/>
      <c r="J309" s="666"/>
      <c r="K309" s="666"/>
      <c r="L309" s="299"/>
      <c r="M309" s="666"/>
      <c r="N309" s="293"/>
      <c r="O309" s="667"/>
      <c r="P309" s="773"/>
      <c r="Q309" s="210"/>
      <c r="R309" s="225"/>
      <c r="S309" s="666"/>
      <c r="T309" s="666"/>
      <c r="U309" s="777"/>
      <c r="V309" s="665"/>
      <c r="W309" s="293"/>
      <c r="X309" s="293"/>
      <c r="Y309" s="293"/>
      <c r="Z309" s="293"/>
      <c r="AA309" s="666"/>
      <c r="AB309" s="666"/>
      <c r="AC309" s="299"/>
      <c r="AD309" s="965"/>
      <c r="AE309" s="965"/>
      <c r="AF309" s="965"/>
      <c r="AG309" s="966"/>
      <c r="AH309" s="966"/>
      <c r="AI309" s="967"/>
      <c r="AJ309" s="968"/>
      <c r="AK309" s="665"/>
      <c r="AL309" s="293">
        <v>35.299999999999997</v>
      </c>
      <c r="AM309" s="293">
        <v>186</v>
      </c>
      <c r="AN309" s="853">
        <f t="shared" ref="AN309:AN315" si="339">(AM309-AM308)*AQ$1/((C308)/24)</f>
        <v>56.160000000000004</v>
      </c>
      <c r="AO309" s="854">
        <f t="shared" ref="AO309:AO315" si="340">AQ$3/AN309</f>
        <v>25.160256410256409</v>
      </c>
      <c r="AP309" s="301">
        <v>124</v>
      </c>
      <c r="AQ309" s="490">
        <f t="shared" si="336"/>
        <v>7301.9718750000002</v>
      </c>
      <c r="AR309" s="76">
        <f t="shared" ref="AR309:AR315" si="341">(AQ309-AQ308)/(C309/24)</f>
        <v>844.85624999999948</v>
      </c>
      <c r="AS309" s="230">
        <f t="shared" ref="AS309:AS315" si="342">(AQ309-AQ308)/C309</f>
        <v>35.202343749999976</v>
      </c>
      <c r="AT309" s="208">
        <f t="shared" ref="AT309:AT310" si="343">AR309/(AVERAGE(AN309)*(AVERAGE(D$276,D$274,D$290,D$262,D$296,D$304,D$308,D$283,D$289,D$282))*AVERAGE(E$276,E$274,E$290,E$262,E$296,E$304,E$308,E$283,E$289,E$282)*0.0001)</f>
        <v>521.07111615037627</v>
      </c>
      <c r="AU309" s="585"/>
      <c r="AV309" s="230">
        <f t="shared" ref="AV309:AV310" si="344">AR309/(AVERAGE(AN309)*AVERAGE(D$276,D$274,D$290,D$262,D$296,D$304,D$308,D$283,D$289,D$282)*0.01)</f>
        <v>395.26370586702933</v>
      </c>
      <c r="AW309" s="855">
        <f t="shared" si="323"/>
        <v>0.59791666666666632</v>
      </c>
      <c r="AX309" s="293"/>
      <c r="AY309" s="293"/>
      <c r="AZ309" s="293"/>
      <c r="BA309" s="293"/>
      <c r="BB309" s="293"/>
      <c r="BC309" s="299"/>
      <c r="BD309" s="671"/>
      <c r="BE309" s="671"/>
      <c r="BF309" s="777"/>
      <c r="BG309" s="665"/>
      <c r="BH309" s="293"/>
      <c r="BI309" s="293"/>
      <c r="BJ309" s="293"/>
      <c r="BK309" s="293"/>
      <c r="BL309" s="666"/>
      <c r="BM309" s="666"/>
      <c r="BN309" s="299"/>
      <c r="BO309" s="298"/>
      <c r="BP309" s="298"/>
      <c r="BQ309" s="298"/>
      <c r="BR309" s="293"/>
      <c r="BS309" s="671"/>
      <c r="BT309" s="293"/>
      <c r="BU309" s="675"/>
      <c r="BV309" s="665"/>
      <c r="BW309" s="293">
        <v>50.6</v>
      </c>
      <c r="BX309" s="293">
        <v>102</v>
      </c>
      <c r="BY309" s="159">
        <f t="shared" ref="BY309:BY312" si="345">(BX309-BX308)*CB$1/((C309)/24)</f>
        <v>23.999999999999989</v>
      </c>
      <c r="BZ309" s="159">
        <f t="shared" ref="BZ309:BZ312" si="346">CB$3/BY309</f>
        <v>31.083333333333346</v>
      </c>
      <c r="CA309" s="785">
        <v>73</v>
      </c>
      <c r="CB309" s="490">
        <f t="shared" ref="CB309:CB335" si="347">((CA309-CA$55)*CB$2)+CB$55</f>
        <v>23811.503124999999</v>
      </c>
      <c r="CC309" s="208">
        <f t="shared" ref="CC309:CC315" si="348">(CB309-CB308)/((C309/24))</f>
        <v>551.95312499999977</v>
      </c>
      <c r="CD309" s="208">
        <f t="shared" ref="CD309:CD315" si="349">(CB309-CB308)/(C309)</f>
        <v>22.998046874999989</v>
      </c>
      <c r="CE309" s="985">
        <f t="shared" ref="CE309:CE310" si="350">CC309/(AVERAGE(BY308,BY309)*(AVERAGE(D$276,D$274,D$290,D$262,D$296,D$304,D$308,D$283,D$289,D$282))*AVERAGE(E$276,E$274,E$290,E$262,E$296,E$304,E$308,E$283,E$289,E$282)*0.0001)</f>
        <v>616.71112207075009</v>
      </c>
      <c r="CF309" s="180"/>
      <c r="CG309" s="180">
        <f>CC309/(AVERAGE(BY309)*AVERAGE((D$276,D$274,D$290,D$262,D$296,D$304,D$308,D$283,D$289,D$282))*0.01)</f>
        <v>604.25766881240145</v>
      </c>
      <c r="CH309" s="433">
        <f t="shared" si="297"/>
        <v>0.73988354557640723</v>
      </c>
      <c r="CI309" s="66"/>
      <c r="CJ309" s="293"/>
      <c r="CK309" s="293"/>
      <c r="CL309" s="293"/>
      <c r="CM309" s="293"/>
      <c r="CN309" s="676"/>
    </row>
    <row r="310" spans="1:92" s="677" customFormat="1" ht="15">
      <c r="A310" s="141">
        <f t="shared" si="292"/>
        <v>41465</v>
      </c>
      <c r="B310" s="307">
        <v>0.33333333333333298</v>
      </c>
      <c r="C310" s="304">
        <f t="shared" si="244"/>
        <v>23.999999999999993</v>
      </c>
      <c r="D310" s="665"/>
      <c r="E310" s="293"/>
      <c r="F310" s="293"/>
      <c r="G310" s="293"/>
      <c r="H310" s="293"/>
      <c r="I310" s="293"/>
      <c r="J310" s="666"/>
      <c r="K310" s="666"/>
      <c r="L310" s="299"/>
      <c r="M310" s="666">
        <v>45</v>
      </c>
      <c r="N310" s="293">
        <v>85</v>
      </c>
      <c r="O310" s="667"/>
      <c r="P310" s="773">
        <v>1400</v>
      </c>
      <c r="Q310" s="210">
        <f t="shared" si="337"/>
        <v>6.9665605095541396</v>
      </c>
      <c r="R310" s="225">
        <f t="shared" si="338"/>
        <v>23.144719300844319</v>
      </c>
      <c r="S310" s="666"/>
      <c r="T310" s="666"/>
      <c r="U310" s="777"/>
      <c r="V310" s="665"/>
      <c r="W310" s="293"/>
      <c r="X310" s="293"/>
      <c r="Y310" s="293"/>
      <c r="Z310" s="293"/>
      <c r="AA310" s="666"/>
      <c r="AB310" s="666"/>
      <c r="AC310" s="299"/>
      <c r="AD310" s="965"/>
      <c r="AE310" s="965"/>
      <c r="AF310" s="965"/>
      <c r="AG310" s="966"/>
      <c r="AH310" s="966"/>
      <c r="AI310" s="967"/>
      <c r="AJ310" s="968"/>
      <c r="AK310" s="665"/>
      <c r="AL310" s="293">
        <v>35.1</v>
      </c>
      <c r="AM310" s="293">
        <v>213</v>
      </c>
      <c r="AN310" s="853">
        <f t="shared" si="339"/>
        <v>58.319999999999979</v>
      </c>
      <c r="AO310" s="854">
        <f t="shared" si="340"/>
        <v>24.228395061728403</v>
      </c>
      <c r="AP310" s="301">
        <v>143</v>
      </c>
      <c r="AQ310" s="490">
        <f t="shared" si="336"/>
        <v>8448.5625</v>
      </c>
      <c r="AR310" s="76">
        <f t="shared" si="341"/>
        <v>1146.5906250000003</v>
      </c>
      <c r="AS310" s="230">
        <f t="shared" si="342"/>
        <v>47.774609375000004</v>
      </c>
      <c r="AT310" s="208">
        <f t="shared" si="343"/>
        <v>680.97653803779406</v>
      </c>
      <c r="AU310" s="585"/>
      <c r="AV310" s="230">
        <f t="shared" si="344"/>
        <v>516.5615626939491</v>
      </c>
      <c r="AW310" s="855">
        <f t="shared" si="323"/>
        <v>0.8114583333333335</v>
      </c>
      <c r="AX310" s="293"/>
      <c r="AY310" s="293"/>
      <c r="AZ310" s="293"/>
      <c r="BA310" s="293"/>
      <c r="BB310" s="293"/>
      <c r="BC310" s="299"/>
      <c r="BD310" s="671"/>
      <c r="BE310" s="671"/>
      <c r="BF310" s="777"/>
      <c r="BG310" s="665"/>
      <c r="BH310" s="293"/>
      <c r="BI310" s="293"/>
      <c r="BJ310" s="293"/>
      <c r="BK310" s="293"/>
      <c r="BL310" s="666"/>
      <c r="BM310" s="666"/>
      <c r="BN310" s="299"/>
      <c r="BO310" s="298"/>
      <c r="BP310" s="298"/>
      <c r="BQ310" s="298"/>
      <c r="BR310" s="293"/>
      <c r="BS310" s="671"/>
      <c r="BT310" s="293"/>
      <c r="BU310" s="675"/>
      <c r="BV310" s="665"/>
      <c r="BW310" s="293">
        <v>50.6</v>
      </c>
      <c r="BX310" s="293">
        <v>118</v>
      </c>
      <c r="BY310" s="159">
        <f t="shared" si="345"/>
        <v>32.000000000000014</v>
      </c>
      <c r="BZ310" s="159">
        <f t="shared" si="346"/>
        <v>23.312499999999989</v>
      </c>
      <c r="CA310" s="289">
        <v>85</v>
      </c>
      <c r="CB310" s="490">
        <f t="shared" si="347"/>
        <v>24547.440624999999</v>
      </c>
      <c r="CC310" s="208">
        <f t="shared" si="348"/>
        <v>735.93750000000023</v>
      </c>
      <c r="CD310" s="208">
        <f t="shared" si="349"/>
        <v>30.664062500000011</v>
      </c>
      <c r="CE310" s="985">
        <f t="shared" si="350"/>
        <v>910.38308496158413</v>
      </c>
      <c r="CF310" s="180"/>
      <c r="CG310" s="180">
        <f>CC310/(AVERAGE(BY310)*AVERAGE((D$276,D$274,D$290,D$262,D$296,D$304,D$308,D$283,D$289,D$282))*0.01)</f>
        <v>604.25766881240133</v>
      </c>
      <c r="CH310" s="433">
        <f t="shared" si="297"/>
        <v>0.98651139410187694</v>
      </c>
      <c r="CI310" s="66"/>
      <c r="CJ310" s="293"/>
      <c r="CK310" s="293"/>
      <c r="CL310" s="293"/>
      <c r="CM310" s="293"/>
      <c r="CN310" s="676"/>
    </row>
    <row r="311" spans="1:92" s="337" customFormat="1" ht="15">
      <c r="A311" s="309">
        <f t="shared" si="292"/>
        <v>41466</v>
      </c>
      <c r="B311" s="310">
        <v>0.33333333333333298</v>
      </c>
      <c r="C311" s="311">
        <f t="shared" ref="C311:C339" si="351">((A311-A310)+(B311-B310))*24</f>
        <v>24</v>
      </c>
      <c r="D311" s="482">
        <v>3</v>
      </c>
      <c r="E311" s="452">
        <v>74.3</v>
      </c>
      <c r="F311" s="319">
        <v>40600</v>
      </c>
      <c r="G311" s="319"/>
      <c r="H311" s="319"/>
      <c r="I311" s="313">
        <v>5508</v>
      </c>
      <c r="J311" s="317"/>
      <c r="K311" s="317"/>
      <c r="L311" s="320"/>
      <c r="M311" s="317"/>
      <c r="N311" s="319"/>
      <c r="O311" s="472"/>
      <c r="P311" s="318"/>
      <c r="Q311" s="764"/>
      <c r="R311" s="765"/>
      <c r="S311" s="317"/>
      <c r="T311" s="317"/>
      <c r="U311" s="757"/>
      <c r="V311" s="318">
        <v>2.4</v>
      </c>
      <c r="W311" s="319">
        <v>64.400000000000006</v>
      </c>
      <c r="X311" s="319">
        <v>25200</v>
      </c>
      <c r="Y311" s="319"/>
      <c r="Z311" s="319">
        <v>1631</v>
      </c>
      <c r="AA311" s="317"/>
      <c r="AB311" s="317"/>
      <c r="AC311" s="320"/>
      <c r="AD311" s="752">
        <f>D308*(100-E308)/(100-W311)</f>
        <v>2.2208089887640456</v>
      </c>
      <c r="AE311" s="753">
        <f>D308-V311</f>
        <v>0.7200000000000002</v>
      </c>
      <c r="AF311" s="864">
        <f>100*(AVERAGE(D$276,D$274,D$290,D$311,D$296,D$304,D$308,D$283,D$289,D$282)-V311)/AVERAGE(D$276,D$274,D$290,D$311,D$296,D$304,D$308,D$283,D$289,D$282)</f>
        <v>36.941671045717285</v>
      </c>
      <c r="AG311" s="864">
        <f>100*(1-((100-AVERAGE(E$276,E$274,E$290,E$311,E$296,E$304,E$308,E$283,E$289,E$282))/(100-W311)))</f>
        <v>31.89887640449437</v>
      </c>
      <c r="AH311" s="753">
        <f>E308-W311</f>
        <v>10.259999999999991</v>
      </c>
      <c r="AI311" s="847">
        <f>100*(1-((V311*W311)/(AVERAGE(D$276,D$274,D$290,D$311,D$296,D$304,D$308,D$283,D$289,D$282)*AVERAGE(E$276,E$274,E$290,E$311,E$296,E$304,E$308,E$283,E$289,E$282))))</f>
        <v>46.394260723166383</v>
      </c>
      <c r="AJ311" s="847">
        <f>100*100*((AVERAGE(E$276,E$274,E$290,E$311,E$296,E$304,E$308,E$283,E$289,E$282)-W311)/((100-W311)*AVERAGE(E$276,E$274,E$290,E$311,E$296,E$304,E$308,E$283,E$289,E$282)))</f>
        <v>42.107392687700475</v>
      </c>
      <c r="AK311" s="318"/>
      <c r="AL311" s="319">
        <v>35.1</v>
      </c>
      <c r="AM311" s="319">
        <v>241</v>
      </c>
      <c r="AN311" s="846">
        <f t="shared" si="339"/>
        <v>60.480000000000025</v>
      </c>
      <c r="AO311" s="847">
        <f t="shared" si="340"/>
        <v>23.363095238095227</v>
      </c>
      <c r="AP311" s="313">
        <v>160</v>
      </c>
      <c r="AQ311" s="490">
        <f t="shared" si="336"/>
        <v>9474.4593750000004</v>
      </c>
      <c r="AR311" s="348">
        <f t="shared" si="341"/>
        <v>1025.8968750000004</v>
      </c>
      <c r="AS311" s="512">
        <f t="shared" si="342"/>
        <v>42.745703125000013</v>
      </c>
      <c r="AT311" s="334">
        <f>AR311/(AVERAGE(AN311)*(AVERAGE(D$276,D$274,D$290,D$311,D$296,D$304,D$308,D$283,D$289,D$282))*AVERAGE(E$276,E$274,E$290,E$311,E$296,E$304,E$308,E$283,E$289,E$282)*0.0001)</f>
        <v>588.30983008696512</v>
      </c>
      <c r="AU311" s="348">
        <f>(AQ311-AQ305)/(AVERAGE(AN305:AN311)*((AVERAGE(D$276,D$274,D$290,D$311,D$296,D$304,D$308,D$283,D$289,D$282)*AVERAGE(E$276,E$274,E$290,E$311,E$296,E$304,E$308,E$283,E$289,E$282))-(V311*W311))*0.0001*(SUM(C305:C311)/24))</f>
        <v>1205.7777038227644</v>
      </c>
      <c r="AV311" s="512">
        <f>AR311/(AVERAGE(AN311)*AVERAGE(D$276,D$274,D$290,D$311,D$296,D$304,D$308,D$283,D$289,D$282)*0.01)</f>
        <v>445.67999488068131</v>
      </c>
      <c r="AW311" s="848">
        <f t="shared" si="323"/>
        <v>0.72604166666666692</v>
      </c>
      <c r="AX311" s="319">
        <v>68.900000000000006</v>
      </c>
      <c r="AY311" s="319">
        <v>28.1</v>
      </c>
      <c r="AZ311" s="319">
        <v>0</v>
      </c>
      <c r="BA311" s="319">
        <v>70</v>
      </c>
      <c r="BB311" s="319">
        <v>65</v>
      </c>
      <c r="BC311" s="320"/>
      <c r="BD311" s="368"/>
      <c r="BE311" s="368"/>
      <c r="BF311" s="757"/>
      <c r="BG311" s="318">
        <v>2.5</v>
      </c>
      <c r="BH311" s="319">
        <v>62.4</v>
      </c>
      <c r="BI311" s="319">
        <v>23600</v>
      </c>
      <c r="BJ311" s="319"/>
      <c r="BK311" s="319">
        <v>2815</v>
      </c>
      <c r="BL311" s="317"/>
      <c r="BM311" s="317"/>
      <c r="BN311" s="320"/>
      <c r="BO311" s="859">
        <f>D308*(100-E308)/(100-BH311)</f>
        <v>2.10268085106383</v>
      </c>
      <c r="BP311" s="753">
        <f>D308-BG311</f>
        <v>0.62000000000000011</v>
      </c>
      <c r="BQ311" s="860">
        <f>100*(AVERAGE(D$276,D$274,D$290,D$311,D$296,D$304,D$308,D$283,D$289,D$282)-BG311)/AVERAGE(D$276,D$274,D$290,D$311,D$296,D$304,D$308,D$283,D$289,D$282)</f>
        <v>34.314240672622169</v>
      </c>
      <c r="BR311" s="861">
        <f>100*(1-((100-AVERAGE(E$276,E$274,E$290,E$311,E$296,E$304,E$308,E$283,E$289,E$282))/(100-BH311)))</f>
        <v>35.521276595744688</v>
      </c>
      <c r="BS311" s="858">
        <f>E308-BH311</f>
        <v>12.259999999999998</v>
      </c>
      <c r="BT311" s="862">
        <f>100*(1-((BG311*BH311)/(AVERAGE(D$276,D$274,D$290,D$311,D$296,D$304,D$308,D$283,D$289,D$282)*AVERAGE(E$276,E$274,E$290,E$311,E$296,E$304,E$308,E$283,E$289,E$282))))</f>
        <v>45.894828369655514</v>
      </c>
      <c r="BU311" s="863">
        <f>100*100*((AVERAGE(E$276,E$274,E$290,E$311,E$296,E$304,E$308,E$283,E$289,E$282)-BH311)/((100-BH311)*AVERAGE(E$276,E$274,E$290,E$311,E$296,E$304,E$308,E$283,E$289,E$282)))</f>
        <v>46.889060398839284</v>
      </c>
      <c r="BV311" s="318"/>
      <c r="BW311" s="319">
        <v>50.6</v>
      </c>
      <c r="BX311" s="319">
        <v>135</v>
      </c>
      <c r="BY311" s="462">
        <f t="shared" si="345"/>
        <v>34</v>
      </c>
      <c r="BZ311" s="462">
        <f t="shared" si="346"/>
        <v>21.941176470588236</v>
      </c>
      <c r="CA311" s="348">
        <v>98</v>
      </c>
      <c r="CB311" s="348">
        <f t="shared" si="347"/>
        <v>25344.706249999999</v>
      </c>
      <c r="CC311" s="334">
        <f t="shared" si="348"/>
        <v>797.265625</v>
      </c>
      <c r="CD311" s="334">
        <f t="shared" si="349"/>
        <v>33.219401041666664</v>
      </c>
      <c r="CE311" s="984">
        <f>CC311/(AVERAGE(BY310,BY311)*(AVERAGE(D$276,D$274,D$290,D$311,D$296,D$304,D$308,D$283,D$289,D$282))*AVERAGE(E$276,E$274,E$290,E$311,E$296,E$304,E$308,E$283,E$289,E$282)*0.0001)</f>
        <v>837.92139618490398</v>
      </c>
      <c r="CF311" s="313">
        <f>(CB311-CB305)/(AVERAGE(BY305:BY311)*((AVERAGE(D$276,D$274,D$290,D$311,D$296,D$304,D$308,D$283,D$289,D$282)*AVERAGE(E$276,E$274,E$290,E$311,E$296,E$304,E$308,E$283,E$289,E$282))-(BG311*BH311))*0.0001*(SUM(C305:C311)/24))</f>
        <v>1406.2178583734815</v>
      </c>
      <c r="CG311" s="441">
        <f>CC311/(AVERAGE(BY311)*AVERAGE((D$276,D$274,D$290,D$311,D$296,D$304,D$308,D$283,D$289,D$282))*0.01)</f>
        <v>616.1058583969583</v>
      </c>
      <c r="CH311" s="477">
        <f t="shared" si="297"/>
        <v>1.0687206769436997</v>
      </c>
      <c r="CI311" s="319">
        <v>69</v>
      </c>
      <c r="CJ311" s="319">
        <v>27.2</v>
      </c>
      <c r="CK311" s="319">
        <v>0</v>
      </c>
      <c r="CL311" s="319">
        <v>59</v>
      </c>
      <c r="CM311" s="319">
        <v>105</v>
      </c>
      <c r="CN311" s="442"/>
    </row>
    <row r="312" spans="1:92" s="677" customFormat="1" ht="15">
      <c r="A312" s="141">
        <f t="shared" si="292"/>
        <v>41467</v>
      </c>
      <c r="B312" s="307">
        <v>0.33333333333333198</v>
      </c>
      <c r="C312" s="304">
        <f t="shared" si="351"/>
        <v>23.999999999999975</v>
      </c>
      <c r="D312" s="665"/>
      <c r="E312" s="293"/>
      <c r="F312" s="293"/>
      <c r="G312" s="293"/>
      <c r="H312" s="293"/>
      <c r="I312" s="293"/>
      <c r="J312" s="666"/>
      <c r="K312" s="666"/>
      <c r="L312" s="299"/>
      <c r="M312" s="666">
        <v>45</v>
      </c>
      <c r="N312" s="293">
        <v>85</v>
      </c>
      <c r="O312" s="667"/>
      <c r="P312" s="773">
        <v>1400</v>
      </c>
      <c r="Q312" s="210">
        <f t="shared" si="337"/>
        <v>6.9665605095541396</v>
      </c>
      <c r="R312" s="225">
        <f t="shared" si="338"/>
        <v>23.144719300844319</v>
      </c>
      <c r="S312" s="786"/>
      <c r="T312" s="786"/>
      <c r="U312" s="777"/>
      <c r="V312" s="665"/>
      <c r="W312" s="293"/>
      <c r="X312" s="293"/>
      <c r="Y312" s="293"/>
      <c r="Z312" s="293"/>
      <c r="AA312" s="666"/>
      <c r="AB312" s="666"/>
      <c r="AC312" s="299"/>
      <c r="AD312" s="965"/>
      <c r="AE312" s="965"/>
      <c r="AF312" s="965"/>
      <c r="AG312" s="966"/>
      <c r="AH312" s="966"/>
      <c r="AI312" s="967"/>
      <c r="AJ312" s="968"/>
      <c r="AK312" s="665"/>
      <c r="AL312" s="293">
        <v>35.200000000000003</v>
      </c>
      <c r="AM312" s="293">
        <v>269</v>
      </c>
      <c r="AN312" s="853">
        <f t="shared" si="339"/>
        <v>60.480000000000004</v>
      </c>
      <c r="AO312" s="854">
        <f t="shared" si="340"/>
        <v>23.363095238095237</v>
      </c>
      <c r="AP312" s="301">
        <v>175</v>
      </c>
      <c r="AQ312" s="490">
        <f t="shared" si="336"/>
        <v>10379.6625</v>
      </c>
      <c r="AR312" s="76">
        <f t="shared" si="341"/>
        <v>905.20312500000091</v>
      </c>
      <c r="AS312" s="230">
        <f t="shared" si="342"/>
        <v>37.716796875000043</v>
      </c>
      <c r="AT312" s="208">
        <f t="shared" ref="AT312:AT314" si="352">AR312/(AVERAGE(AN312)*(AVERAGE(D$276,D$274,D$290,D$311,D$296,D$304,D$308,D$283,D$289,D$282))*AVERAGE(E$276,E$274,E$290,E$311,E$296,E$304,E$308,E$283,E$289,E$282)*0.0001)</f>
        <v>519.09690890026377</v>
      </c>
      <c r="AU312" s="585"/>
      <c r="AV312" s="230">
        <f t="shared" ref="AV312:AV314" si="353">AR312/(AVERAGE(AN312)*AVERAGE(D$276,D$274,D$290,D$311,D$296,D$304,D$308,D$283,D$289,D$282)*0.01)</f>
        <v>393.24705430648385</v>
      </c>
      <c r="AW312" s="855">
        <f t="shared" si="323"/>
        <v>0.64062500000000067</v>
      </c>
      <c r="AX312" s="293"/>
      <c r="AY312" s="293"/>
      <c r="AZ312" s="293"/>
      <c r="BA312" s="293"/>
      <c r="BB312" s="293"/>
      <c r="BC312" s="299"/>
      <c r="BD312" s="786"/>
      <c r="BE312" s="786"/>
      <c r="BF312" s="777"/>
      <c r="BG312" s="665"/>
      <c r="BH312" s="293"/>
      <c r="BI312" s="293"/>
      <c r="BJ312" s="293"/>
      <c r="BK312" s="293"/>
      <c r="BL312" s="666"/>
      <c r="BM312" s="666"/>
      <c r="BN312" s="299"/>
      <c r="BO312" s="298"/>
      <c r="BP312" s="298"/>
      <c r="BQ312" s="298"/>
      <c r="BR312" s="293"/>
      <c r="BS312" s="671"/>
      <c r="BT312" s="293"/>
      <c r="BU312" s="675"/>
      <c r="BV312" s="665"/>
      <c r="BW312" s="293">
        <v>50.6</v>
      </c>
      <c r="BX312" s="293">
        <v>144</v>
      </c>
      <c r="BY312" s="159">
        <f t="shared" si="345"/>
        <v>18.000000000000018</v>
      </c>
      <c r="BZ312" s="159">
        <f t="shared" si="346"/>
        <v>41.4444444444444</v>
      </c>
      <c r="CA312" s="301">
        <v>106</v>
      </c>
      <c r="CB312" s="490">
        <f t="shared" si="347"/>
        <v>25835.331249999999</v>
      </c>
      <c r="CC312" s="208">
        <f t="shared" si="348"/>
        <v>490.62500000000051</v>
      </c>
      <c r="CD312" s="208">
        <f t="shared" si="349"/>
        <v>20.442708333333353</v>
      </c>
      <c r="CE312" s="985">
        <f>CC312/(AVERAGE(BY311,BY312)*(AVERAGE(D$276,D$274,D$290,D$311,D$296,D$304,D$308,D$283,D$289,D$282))*AVERAGE(E$276,E$274,E$290,E$311,E$296,E$304,E$308,E$283,E$289,E$282)*0.0001)</f>
        <v>654.47114968288417</v>
      </c>
      <c r="CF312" s="180"/>
      <c r="CG312" s="180">
        <f>CC312/(AVERAGE(BY312)*AVERAGE((D$276,D$274,D$290,D$311,D$296,D$304,D$308,D$283,D$289,D$282))*0.01)</f>
        <v>716.1572371109944</v>
      </c>
      <c r="CH312" s="433">
        <f t="shared" si="297"/>
        <v>0.65767426273458518</v>
      </c>
      <c r="CI312" s="66"/>
      <c r="CJ312" s="293"/>
      <c r="CK312" s="293"/>
      <c r="CL312" s="293"/>
      <c r="CM312" s="293"/>
      <c r="CN312" s="676"/>
    </row>
    <row r="313" spans="1:92" s="677" customFormat="1" ht="15">
      <c r="A313" s="141">
        <f t="shared" si="292"/>
        <v>41468</v>
      </c>
      <c r="B313" s="663">
        <v>0.33333333333333198</v>
      </c>
      <c r="C313" s="304">
        <f t="shared" si="351"/>
        <v>24</v>
      </c>
      <c r="D313" s="665"/>
      <c r="E313" s="293"/>
      <c r="F313" s="293"/>
      <c r="G313" s="293"/>
      <c r="H313" s="293"/>
      <c r="I313" s="293"/>
      <c r="J313" s="666"/>
      <c r="K313" s="666"/>
      <c r="L313" s="299"/>
      <c r="M313" s="666"/>
      <c r="N313" s="293"/>
      <c r="O313" s="667"/>
      <c r="P313" s="665"/>
      <c r="Q313" s="210"/>
      <c r="R313" s="225"/>
      <c r="S313" s="666"/>
      <c r="T313" s="666"/>
      <c r="U313" s="777"/>
      <c r="V313" s="665"/>
      <c r="W313" s="293"/>
      <c r="X313" s="293"/>
      <c r="Y313" s="293"/>
      <c r="Z313" s="293"/>
      <c r="AA313" s="666"/>
      <c r="AB313" s="666"/>
      <c r="AC313" s="299"/>
      <c r="AD313" s="965"/>
      <c r="AE313" s="965"/>
      <c r="AF313" s="965"/>
      <c r="AG313" s="966"/>
      <c r="AH313" s="966"/>
      <c r="AI313" s="967"/>
      <c r="AJ313" s="968"/>
      <c r="AK313" s="665"/>
      <c r="AL313" s="293">
        <v>35.4</v>
      </c>
      <c r="AM313" s="293">
        <v>297</v>
      </c>
      <c r="AN313" s="853">
        <f t="shared" si="339"/>
        <v>60.480000000000068</v>
      </c>
      <c r="AO313" s="854">
        <f t="shared" si="340"/>
        <v>23.363095238095212</v>
      </c>
      <c r="AP313" s="301">
        <v>188</v>
      </c>
      <c r="AQ313" s="490">
        <f t="shared" si="336"/>
        <v>11164.171875</v>
      </c>
      <c r="AR313" s="76">
        <f t="shared" si="341"/>
        <v>784.50937499999964</v>
      </c>
      <c r="AS313" s="230">
        <f t="shared" si="342"/>
        <v>32.687890624999987</v>
      </c>
      <c r="AT313" s="208">
        <f t="shared" si="352"/>
        <v>449.88398771356094</v>
      </c>
      <c r="AU313" s="585"/>
      <c r="AV313" s="230">
        <f t="shared" si="353"/>
        <v>340.81411373228519</v>
      </c>
      <c r="AW313" s="855">
        <f t="shared" si="323"/>
        <v>0.55520833333333308</v>
      </c>
      <c r="AX313" s="293"/>
      <c r="AY313" s="293"/>
      <c r="AZ313" s="293"/>
      <c r="BA313" s="293"/>
      <c r="BB313" s="293"/>
      <c r="BC313" s="299"/>
      <c r="BD313" s="671"/>
      <c r="BE313" s="671"/>
      <c r="BF313" s="777"/>
      <c r="BG313" s="665"/>
      <c r="BH313" s="293"/>
      <c r="BI313" s="293"/>
      <c r="BJ313" s="293"/>
      <c r="BK313" s="293"/>
      <c r="BL313" s="666"/>
      <c r="BM313" s="666"/>
      <c r="BN313" s="299"/>
      <c r="BO313" s="298"/>
      <c r="BP313" s="298"/>
      <c r="BQ313" s="298"/>
      <c r="BR313" s="293"/>
      <c r="BS313" s="671"/>
      <c r="BT313" s="293"/>
      <c r="BU313" s="675"/>
      <c r="BV313" s="665"/>
      <c r="BW313" s="293">
        <v>50.5</v>
      </c>
      <c r="BX313" s="293">
        <v>166</v>
      </c>
      <c r="BY313" s="159">
        <f>(BX313-BX312)*CB$1/((C313)/24)</f>
        <v>44</v>
      </c>
      <c r="BZ313" s="159">
        <f>CB$3/BY313</f>
        <v>16.954545454545453</v>
      </c>
      <c r="CA313" s="490">
        <v>116</v>
      </c>
      <c r="CB313" s="490">
        <f t="shared" si="347"/>
        <v>26448.612499999999</v>
      </c>
      <c r="CC313" s="208">
        <f t="shared" si="348"/>
        <v>613.28125</v>
      </c>
      <c r="CD313" s="208">
        <f t="shared" si="349"/>
        <v>25.553385416666668</v>
      </c>
      <c r="CE313" s="985">
        <f>CC313/(AVERAGE(BY312,BY313)*(AVERAGE(D$276,D$274,D$290,D$311,D$296,D$304,D$308,D$283,D$289,D$282))*AVERAGE(E$276,E$274,E$290,E$311,E$296,E$304,E$308,E$283,E$289,E$282)*0.0001)</f>
        <v>686.13910853850689</v>
      </c>
      <c r="CF313" s="180"/>
      <c r="CG313" s="180">
        <f>CC313/(AVERAGE(BY313)*AVERAGE((D$276,D$274,D$290,D$311,D$296,D$304,D$308,D$283,D$289,D$282))*0.01)</f>
        <v>366.21676897721306</v>
      </c>
      <c r="CH313" s="433">
        <f t="shared" si="297"/>
        <v>0.82209282841823061</v>
      </c>
      <c r="CI313" s="66"/>
      <c r="CJ313" s="293"/>
      <c r="CK313" s="293"/>
      <c r="CL313" s="293"/>
      <c r="CM313" s="293"/>
      <c r="CN313" s="676"/>
    </row>
    <row r="314" spans="1:92" s="677" customFormat="1" ht="15">
      <c r="A314" s="141">
        <f t="shared" si="292"/>
        <v>41469</v>
      </c>
      <c r="B314" s="307">
        <v>0.33333333333333198</v>
      </c>
      <c r="C314" s="304">
        <f t="shared" si="351"/>
        <v>24</v>
      </c>
      <c r="D314" s="665"/>
      <c r="E314" s="293"/>
      <c r="F314" s="293"/>
      <c r="G314" s="293"/>
      <c r="H314" s="293"/>
      <c r="I314" s="293"/>
      <c r="J314" s="666"/>
      <c r="K314" s="666"/>
      <c r="L314" s="299"/>
      <c r="M314" s="666"/>
      <c r="N314" s="293"/>
      <c r="O314" s="667"/>
      <c r="P314" s="773"/>
      <c r="Q314" s="210"/>
      <c r="R314" s="225"/>
      <c r="S314" s="666"/>
      <c r="T314" s="666"/>
      <c r="U314" s="777"/>
      <c r="V314" s="665"/>
      <c r="W314" s="293"/>
      <c r="X314" s="293"/>
      <c r="Y314" s="293"/>
      <c r="Z314" s="293"/>
      <c r="AA314" s="666"/>
      <c r="AB314" s="666"/>
      <c r="AC314" s="299"/>
      <c r="AD314" s="965"/>
      <c r="AE314" s="965"/>
      <c r="AF314" s="965"/>
      <c r="AG314" s="966"/>
      <c r="AH314" s="966"/>
      <c r="AI314" s="967"/>
      <c r="AJ314" s="968"/>
      <c r="AK314" s="665"/>
      <c r="AL314" s="293">
        <v>35.1</v>
      </c>
      <c r="AM314" s="293">
        <v>325</v>
      </c>
      <c r="AN314" s="853">
        <f t="shared" si="339"/>
        <v>60.480000000000004</v>
      </c>
      <c r="AO314" s="854">
        <f t="shared" si="340"/>
        <v>23.363095238095237</v>
      </c>
      <c r="AP314" s="301">
        <v>203</v>
      </c>
      <c r="AQ314" s="490">
        <f t="shared" si="336"/>
        <v>12069.375</v>
      </c>
      <c r="AR314" s="76">
        <f t="shared" si="341"/>
        <v>905.203125</v>
      </c>
      <c r="AS314" s="230">
        <f t="shared" si="342"/>
        <v>37.716796875</v>
      </c>
      <c r="AT314" s="208">
        <f t="shared" si="352"/>
        <v>519.0969089002632</v>
      </c>
      <c r="AU314" s="585"/>
      <c r="AV314" s="230">
        <f t="shared" si="353"/>
        <v>393.24705430648345</v>
      </c>
      <c r="AW314" s="855">
        <f t="shared" si="323"/>
        <v>0.640625</v>
      </c>
      <c r="AX314" s="293"/>
      <c r="AY314" s="293"/>
      <c r="AZ314" s="293"/>
      <c r="BA314" s="293"/>
      <c r="BB314" s="293"/>
      <c r="BC314" s="299"/>
      <c r="BD314" s="671"/>
      <c r="BE314" s="671"/>
      <c r="BF314" s="777"/>
      <c r="BG314" s="665"/>
      <c r="BH314" s="293"/>
      <c r="BI314" s="293"/>
      <c r="BJ314" s="293"/>
      <c r="BK314" s="293"/>
      <c r="BL314" s="666"/>
      <c r="BM314" s="666"/>
      <c r="BN314" s="299"/>
      <c r="BO314" s="298"/>
      <c r="BP314" s="298"/>
      <c r="BQ314" s="298"/>
      <c r="BR314" s="293"/>
      <c r="BS314" s="671"/>
      <c r="BT314" s="293"/>
      <c r="BU314" s="675"/>
      <c r="BV314" s="665"/>
      <c r="BW314" s="293">
        <v>50.6</v>
      </c>
      <c r="BX314" s="293">
        <v>183</v>
      </c>
      <c r="BY314" s="159">
        <f t="shared" ref="BY314:BY315" si="354">(BX314-BX313)*CB$1/((C314)/24)</f>
        <v>34</v>
      </c>
      <c r="BZ314" s="159">
        <f t="shared" ref="BZ314:BZ315" si="355">CB$3/BY314</f>
        <v>21.941176470588236</v>
      </c>
      <c r="CA314" s="490">
        <v>125</v>
      </c>
      <c r="CB314" s="490">
        <f t="shared" si="347"/>
        <v>27000.565624999999</v>
      </c>
      <c r="CC314" s="208">
        <f t="shared" si="348"/>
        <v>551.953125</v>
      </c>
      <c r="CD314" s="208">
        <f t="shared" si="349"/>
        <v>22.998046875</v>
      </c>
      <c r="CE314" s="985">
        <f>CC314/(AVERAGE(BY313,BY314)*(AVERAGE(D$276,D$274,D$290,D$311,D$296,D$304,D$308,D$283,D$289,D$282))*AVERAGE(E$276,E$274,E$290,E$311,E$296,E$304,E$308,E$283,E$289,E$282)*0.0001)</f>
        <v>490.85336226216265</v>
      </c>
      <c r="CF314" s="180"/>
      <c r="CG314" s="180">
        <f>CC314/(AVERAGE(BY314)*AVERAGE((D$276,D$274,D$290,D$311,D$296,D$304,D$308,D$283,D$289,D$282))*0.01)</f>
        <v>426.53482504404809</v>
      </c>
      <c r="CH314" s="433">
        <f t="shared" si="297"/>
        <v>0.73988354557640745</v>
      </c>
      <c r="CI314" s="293"/>
      <c r="CJ314" s="293"/>
      <c r="CK314" s="293"/>
      <c r="CL314" s="293"/>
      <c r="CM314" s="293"/>
      <c r="CN314" s="676"/>
    </row>
    <row r="315" spans="1:92" s="337" customFormat="1" ht="15">
      <c r="A315" s="309">
        <f t="shared" si="292"/>
        <v>41470</v>
      </c>
      <c r="B315" s="310">
        <v>0.33333333333333098</v>
      </c>
      <c r="C315" s="311">
        <f t="shared" si="351"/>
        <v>23.999999999999975</v>
      </c>
      <c r="D315" s="721">
        <v>3</v>
      </c>
      <c r="E315" s="365">
        <v>75.3</v>
      </c>
      <c r="F315" s="319"/>
      <c r="G315" s="319"/>
      <c r="H315" s="319"/>
      <c r="I315" s="319"/>
      <c r="J315" s="317"/>
      <c r="K315" s="317"/>
      <c r="L315" s="320"/>
      <c r="M315" s="317">
        <v>50</v>
      </c>
      <c r="N315" s="319">
        <v>80</v>
      </c>
      <c r="O315" s="472"/>
      <c r="P315" s="763">
        <v>1050</v>
      </c>
      <c r="Q315" s="764">
        <f t="shared" si="337"/>
        <v>6.9665605095541405</v>
      </c>
      <c r="R315" s="765">
        <f t="shared" si="338"/>
        <v>23.144719300844322</v>
      </c>
      <c r="S315" s="317"/>
      <c r="T315" s="317"/>
      <c r="U315" s="757"/>
      <c r="V315" s="339">
        <v>2.2000000000000002</v>
      </c>
      <c r="W315" s="365">
        <v>62.7</v>
      </c>
      <c r="X315" s="319"/>
      <c r="Y315" s="319"/>
      <c r="Z315" s="319"/>
      <c r="AA315" s="317"/>
      <c r="AB315" s="317"/>
      <c r="AC315" s="320"/>
      <c r="AD315" s="752">
        <f>D311*(100-E311)/(100-W315)</f>
        <v>2.0670241286863273</v>
      </c>
      <c r="AE315" s="753">
        <f>D311-V315</f>
        <v>0.79999999999999982</v>
      </c>
      <c r="AF315" s="864">
        <f>100*(AVERAGE(D$276,D$315,D$290,D$311,D$296,D$304,D$308,D$283,D$289,D$282)-V315)/AVERAGE(D$276,D$315,D$290,D$311,D$296,D$304,D$308,D$283,D$289,D$282)</f>
        <v>41.875825627476871</v>
      </c>
      <c r="AG315" s="864">
        <f>100*(1-((100-AVERAGE(E$276,E$315,E$290,E$311,E$296,E$304,E$308,E$283,E$289,E$282))/(100-W315)))</f>
        <v>36.050938337801583</v>
      </c>
      <c r="AH315" s="753">
        <f>E311-W315</f>
        <v>11.599999999999994</v>
      </c>
      <c r="AI315" s="847">
        <f>100*(1-((V315*W315)/(AVERAGE(D$276,D$315,D$290,D$311,D$296,D$304,D$308,D$283,D$289,D$282)*AVERAGE(E$276,E$315,E$290,E$311,E$296,E$304,E$308,E$283,E$289,E$282))))</f>
        <v>52.140127212402312</v>
      </c>
      <c r="AJ315" s="847">
        <f>100*100*((AVERAGE(E$276,E$315,E$290,E$311,E$296,E$304,E$308,E$283,E$289,E$282)-W315)/((100-W315)*AVERAGE(E$276,E$315,E$290,E$311,E$296,E$304,E$308,E$283,E$289,E$282)))</f>
        <v>47.343872165418972</v>
      </c>
      <c r="AK315" s="318">
        <v>6.9</v>
      </c>
      <c r="AL315" s="319">
        <v>34.4</v>
      </c>
      <c r="AM315" s="319">
        <v>353</v>
      </c>
      <c r="AN315" s="846">
        <f t="shared" si="339"/>
        <v>60.480000000000004</v>
      </c>
      <c r="AO315" s="847">
        <f t="shared" si="340"/>
        <v>23.363095238095237</v>
      </c>
      <c r="AP315" s="313">
        <v>218</v>
      </c>
      <c r="AQ315" s="490">
        <f t="shared" si="336"/>
        <v>12974.578125000002</v>
      </c>
      <c r="AR315" s="348">
        <f t="shared" si="341"/>
        <v>905.20312500000273</v>
      </c>
      <c r="AS315" s="512">
        <f t="shared" si="342"/>
        <v>37.716796875000114</v>
      </c>
      <c r="AT315" s="334">
        <f>AR315/(AVERAGE(AN315)*(AVERAGE(D$276,D$315,D$290,D$311,D$296,D$304,D$308,D$283,D$289,D$282))*AVERAGE(E$276,E$315,E$290,E$311,E$296,E$304,E$308,E$283,E$289,E$282)*0.0001)</f>
        <v>519.29672102465963</v>
      </c>
      <c r="AU315" s="348">
        <f>(AQ315-AQ309)/(AVERAGE(AN309:AN315)*((AVERAGE(D$276,D$315,D$290,D$311,D$296,D$304,D$308,D$283,D$289,D$282)*AVERAGE(E$276,E$315,E$290,E$311,E$296,E$304,E$308,E$283,E$289,E$282))-(V315*W315))*0.0001*(SUM(C309:C315)/24))</f>
        <v>905.48406278370851</v>
      </c>
      <c r="AV315" s="512">
        <f>AR315/(AVERAGE(AN315)*AVERAGE(D$276,D$315,D$290,D$311,D$296,D$304,D$308,D$283,D$289,D$282)*0.01)</f>
        <v>395.42887415864755</v>
      </c>
      <c r="AW315" s="848">
        <f t="shared" si="323"/>
        <v>0.64062500000000189</v>
      </c>
      <c r="AX315" s="319">
        <v>68.599999999999994</v>
      </c>
      <c r="AY315" s="319">
        <v>28</v>
      </c>
      <c r="AZ315" s="319">
        <v>0</v>
      </c>
      <c r="BA315" s="319">
        <v>48</v>
      </c>
      <c r="BB315" s="319">
        <v>60</v>
      </c>
      <c r="BC315" s="320"/>
      <c r="BD315" s="368"/>
      <c r="BE315" s="368"/>
      <c r="BF315" s="757"/>
      <c r="BG315" s="339">
        <v>2.2999999999999998</v>
      </c>
      <c r="BH315" s="365">
        <v>60</v>
      </c>
      <c r="BI315" s="319"/>
      <c r="BJ315" s="319"/>
      <c r="BK315" s="319"/>
      <c r="BL315" s="317"/>
      <c r="BM315" s="317"/>
      <c r="BN315" s="320"/>
      <c r="BO315" s="859">
        <f>D311*(100-E311)/(100-BH315)</f>
        <v>1.9275000000000002</v>
      </c>
      <c r="BP315" s="753">
        <f>D311-BG315</f>
        <v>0.70000000000000018</v>
      </c>
      <c r="BQ315" s="860">
        <f>100*(AVERAGE(D$276,D$315,D$290,D$311,D$296,D$304,D$308,D$283,D$289,D$282)-BG315)/AVERAGE(D$276,D$315,D$290,D$311,D$296,D$304,D$308,D$283,D$289,D$282)</f>
        <v>39.233817701453098</v>
      </c>
      <c r="BR315" s="861">
        <f>100*(1-((100-AVERAGE(E$276,E$315,E$290,E$311,E$296,E$304,E$308,E$283,E$289,E$282))/(100-BH315)))</f>
        <v>40.367499999999978</v>
      </c>
      <c r="BS315" s="858">
        <f>E311-BH315</f>
        <v>14.299999999999997</v>
      </c>
      <c r="BT315" s="862">
        <f>100*(1-((BG315*BH315)/(AVERAGE(D$276,D$315,D$290,D$311,D$296,D$304,D$308,D$283,D$289,D$282)*AVERAGE(E$276,E$315,E$290,E$311,E$296,E$304,E$308,E$283,E$289,E$282))))</f>
        <v>52.119309520889658</v>
      </c>
      <c r="BU315" s="863">
        <f>100*100*((AVERAGE(E$276,E$315,E$290,E$311,E$296,E$304,E$308,E$283,E$289,E$282)-BH315)/((100-BH315)*AVERAGE(E$276,E$315,E$290,E$311,E$296,E$304,E$308,E$283,E$289,E$282)))</f>
        <v>53.012594061486311</v>
      </c>
      <c r="BV315" s="318">
        <v>7.24</v>
      </c>
      <c r="BW315" s="319">
        <v>48</v>
      </c>
      <c r="BX315" s="319">
        <v>198</v>
      </c>
      <c r="BY315" s="462">
        <f t="shared" si="354"/>
        <v>30.000000000000028</v>
      </c>
      <c r="BZ315" s="462">
        <f t="shared" si="355"/>
        <v>24.866666666666642</v>
      </c>
      <c r="CA315" s="348">
        <v>135</v>
      </c>
      <c r="CB315" s="348">
        <f t="shared" si="347"/>
        <v>27613.846874999999</v>
      </c>
      <c r="CC315" s="334">
        <f t="shared" si="348"/>
        <v>613.28125000000057</v>
      </c>
      <c r="CD315" s="334">
        <f t="shared" si="349"/>
        <v>25.553385416666693</v>
      </c>
      <c r="CE315" s="984">
        <f>CC315/(AVERAGE(BY314,BY315)*(AVERAGE(D$276,D$315,D$290,D$311,D$296,D$304,D$308,D$283,D$289,D$282))*AVERAGE(E$276,E$315,E$290,E$311,E$296,E$304,E$308,E$283,E$289,E$282)*0.0001)</f>
        <v>664.95311838523321</v>
      </c>
      <c r="CF315" s="313">
        <f>(CB315-CB309)/(AVERAGE(BY309:BY315)*((AVERAGE(D$276,D$315,D$290,D$311,D$296,D$304,D$308,D$283,D$289,D$282)*AVERAGE(E$276,E$315,E$290,E$311,E$296,E$304,E$308,E$283,E$289,E$282))-(BG315*BH315))*0.0001*(SUM(C309:C315)/24))</f>
        <v>1171.8723037546633</v>
      </c>
      <c r="CG315" s="441">
        <f>CC315/(AVERAGE(BY315)*AVERAGE((D$276,D$315,D$290,D$311,D$296,D$304,D$308,D$283,D$289,D$282))*0.01)</f>
        <v>540.09797446059019</v>
      </c>
      <c r="CH315" s="477">
        <f t="shared" si="297"/>
        <v>0.82209282841823128</v>
      </c>
      <c r="CI315" s="319">
        <v>68.8</v>
      </c>
      <c r="CJ315" s="319">
        <v>28.3</v>
      </c>
      <c r="CK315" s="319">
        <v>0</v>
      </c>
      <c r="CL315" s="319">
        <v>62</v>
      </c>
      <c r="CM315" s="319">
        <v>105</v>
      </c>
      <c r="CN315" s="442"/>
    </row>
    <row r="316" spans="1:92" s="677" customFormat="1" ht="15">
      <c r="A316" s="141">
        <f t="shared" si="292"/>
        <v>41471</v>
      </c>
      <c r="B316" s="307">
        <v>0.33333333333333098</v>
      </c>
      <c r="C316" s="304">
        <f t="shared" si="351"/>
        <v>24</v>
      </c>
      <c r="D316" s="665"/>
      <c r="E316" s="293"/>
      <c r="F316" s="293"/>
      <c r="G316" s="293"/>
      <c r="H316" s="293"/>
      <c r="I316" s="293"/>
      <c r="J316" s="666"/>
      <c r="K316" s="666"/>
      <c r="L316" s="299"/>
      <c r="M316" s="666"/>
      <c r="N316" s="293"/>
      <c r="O316" s="667"/>
      <c r="P316" s="773"/>
      <c r="Q316" s="774"/>
      <c r="R316" s="775"/>
      <c r="S316" s="666"/>
      <c r="T316" s="666"/>
      <c r="U316" s="777"/>
      <c r="V316" s="665"/>
      <c r="W316" s="293"/>
      <c r="X316" s="293"/>
      <c r="Y316" s="293"/>
      <c r="Z316" s="293"/>
      <c r="AA316" s="666"/>
      <c r="AB316" s="666"/>
      <c r="AC316" s="299"/>
      <c r="AD316" s="965"/>
      <c r="AE316" s="965"/>
      <c r="AF316" s="965"/>
      <c r="AG316" s="966"/>
      <c r="AH316" s="966"/>
      <c r="AI316" s="967"/>
      <c r="AJ316" s="968"/>
      <c r="AK316" s="665"/>
      <c r="AL316" s="293">
        <v>35.299999999999997</v>
      </c>
      <c r="AM316" s="293">
        <v>381</v>
      </c>
      <c r="AN316" s="853">
        <f t="shared" ref="AN316:AN319" si="356">(AM316-AM315)*AQ$1/((C315)/24)</f>
        <v>60.480000000000068</v>
      </c>
      <c r="AO316" s="854">
        <f t="shared" ref="AO316:AO319" si="357">AQ$3/AN316</f>
        <v>23.363095238095212</v>
      </c>
      <c r="AP316" s="301">
        <v>233</v>
      </c>
      <c r="AQ316" s="490">
        <f t="shared" si="336"/>
        <v>13879.781250000002</v>
      </c>
      <c r="AR316" s="76">
        <f t="shared" ref="AR316:AR327" si="358">(AQ316-AQ315)/(C316/24)</f>
        <v>905.203125</v>
      </c>
      <c r="AS316" s="230">
        <f t="shared" ref="AS316:AS327" si="359">(AQ316-AQ315)/C316</f>
        <v>37.716796875</v>
      </c>
      <c r="AT316" s="208">
        <f t="shared" ref="AT316" si="360">AR316/(AVERAGE(AN316)*(AVERAGE(D$276,D$315,D$290,D$311,D$296,D$304,D$308,D$283,D$289,D$282))*AVERAGE(E$276,E$315,E$290,E$311,E$296,E$304,E$308,E$283,E$289,E$282)*0.0001)</f>
        <v>519.29672102465747</v>
      </c>
      <c r="AU316" s="585"/>
      <c r="AV316" s="230">
        <f t="shared" ref="AV316" si="361">AR316/(AVERAGE(AN316)*AVERAGE(D$276,D$315,D$290,D$311,D$296,D$304,D$308,D$283,D$289,D$282)*0.01)</f>
        <v>395.4288741586459</v>
      </c>
      <c r="AW316" s="855">
        <f t="shared" si="323"/>
        <v>0.640625</v>
      </c>
      <c r="AX316" s="293"/>
      <c r="AY316" s="293"/>
      <c r="AZ316" s="293"/>
      <c r="BA316" s="293"/>
      <c r="BB316" s="293"/>
      <c r="BC316" s="299"/>
      <c r="BD316" s="671"/>
      <c r="BE316" s="671"/>
      <c r="BF316" s="777"/>
      <c r="BG316" s="665"/>
      <c r="BH316" s="293"/>
      <c r="BI316" s="293"/>
      <c r="BJ316" s="293"/>
      <c r="BK316" s="293"/>
      <c r="BL316" s="666"/>
      <c r="BM316" s="666"/>
      <c r="BN316" s="299"/>
      <c r="BO316" s="298"/>
      <c r="BP316" s="298"/>
      <c r="BQ316" s="298"/>
      <c r="BR316" s="293"/>
      <c r="BS316" s="671"/>
      <c r="BT316" s="293"/>
      <c r="BU316" s="675"/>
      <c r="BV316" s="665"/>
      <c r="BW316" s="293">
        <v>50.5</v>
      </c>
      <c r="BX316" s="293">
        <v>214</v>
      </c>
      <c r="BY316" s="159">
        <f t="shared" ref="BY316:BY319" si="362">(BX316-BX315)*CB$1/((C316)/24)</f>
        <v>32</v>
      </c>
      <c r="BZ316" s="159">
        <f t="shared" ref="BZ316:BZ319" si="363">CB$3/BY316</f>
        <v>23.3125</v>
      </c>
      <c r="CA316" s="490">
        <v>144</v>
      </c>
      <c r="CB316" s="490">
        <f t="shared" si="347"/>
        <v>28165.8</v>
      </c>
      <c r="CC316" s="208">
        <f t="shared" ref="CC316:CC327" si="364">(CB316-CB315)/((C316/24))</f>
        <v>551.953125</v>
      </c>
      <c r="CD316" s="208">
        <f t="shared" ref="CD316:CD327" si="365">(CB316-CB315)/(C316)</f>
        <v>22.998046875</v>
      </c>
      <c r="CE316" s="985">
        <f>CC316/(AVERAGE(BY315,BY316)*(AVERAGE(D$276,D$315,D$290,D$311,D$296,D$304,D$308,D$283,D$289,D$282))*AVERAGE(E$276,E$315,E$290,E$311,E$296,E$304,E$308,E$283,E$289,E$282)*0.0001)</f>
        <v>617.76289708047409</v>
      </c>
      <c r="CF316" s="180"/>
      <c r="CG316" s="180">
        <f>CC316/(AVERAGE(BY316)*AVERAGE((D$276,D$315,D$290,D$311,D$296,D$304,D$308,D$283,D$289,D$282))*0.01)</f>
        <v>455.70766595112292</v>
      </c>
      <c r="CH316" s="433">
        <f t="shared" si="297"/>
        <v>0.73988354557640745</v>
      </c>
      <c r="CI316" s="293"/>
      <c r="CJ316" s="293"/>
      <c r="CK316" s="293"/>
      <c r="CL316" s="293"/>
      <c r="CM316" s="293"/>
      <c r="CN316" s="676"/>
    </row>
    <row r="317" spans="1:92" s="337" customFormat="1" ht="15">
      <c r="A317" s="309">
        <f t="shared" si="292"/>
        <v>41472</v>
      </c>
      <c r="B317" s="310">
        <v>0.33333333333333098</v>
      </c>
      <c r="C317" s="311">
        <f t="shared" si="351"/>
        <v>24</v>
      </c>
      <c r="D317" s="339">
        <v>3.7</v>
      </c>
      <c r="E317" s="365">
        <v>75.599999999999994</v>
      </c>
      <c r="F317" s="319"/>
      <c r="G317" s="319"/>
      <c r="H317" s="319"/>
      <c r="I317" s="319"/>
      <c r="J317" s="317"/>
      <c r="K317" s="317"/>
      <c r="L317" s="320"/>
      <c r="M317" s="317">
        <v>55</v>
      </c>
      <c r="N317" s="319">
        <v>85</v>
      </c>
      <c r="O317" s="472"/>
      <c r="P317" s="763">
        <v>1050</v>
      </c>
      <c r="Q317" s="764">
        <f t="shared" si="337"/>
        <v>6.9665605095541405</v>
      </c>
      <c r="R317" s="765">
        <f t="shared" si="338"/>
        <v>23.144719300844322</v>
      </c>
      <c r="S317" s="317"/>
      <c r="T317" s="317"/>
      <c r="U317" s="757"/>
      <c r="V317" s="339">
        <v>2.2000000000000002</v>
      </c>
      <c r="W317" s="365">
        <v>64.3</v>
      </c>
      <c r="X317" s="319"/>
      <c r="Y317" s="319"/>
      <c r="Z317" s="319"/>
      <c r="AA317" s="317"/>
      <c r="AB317" s="317"/>
      <c r="AC317" s="320"/>
      <c r="AD317" s="752">
        <f>D315*(100-E315)/(100-W317)</f>
        <v>2.0756302521008405</v>
      </c>
      <c r="AE317" s="753">
        <f>D315-V317</f>
        <v>0.79999999999999982</v>
      </c>
      <c r="AF317" s="864">
        <f>100*(AVERAGE(D$317,D$315,D$290,D$311,D$296,D$304,D$308,D$283,D$289,D$282)-V317)/AVERAGE(D$317,D$315,D$290,D$311,D$296,D$304,D$308,D$283,D$289,D$282)</f>
        <v>41.207910208444666</v>
      </c>
      <c r="AG317" s="864">
        <f>100*(1-((100-AVERAGE(E$317,E$315,E$290,E$311,E$296,E$304,E$308,E$283,E$289,E$282))/(100-W317)))</f>
        <v>32.173669467787079</v>
      </c>
      <c r="AH317" s="753">
        <f>E315-W317</f>
        <v>11</v>
      </c>
      <c r="AI317" s="847">
        <f>100*(1-((V317*W317)/(AVERAGE(D$317,D$315,D$290,D$311,D$296,D$304,D$308,D$283,D$289,D$282)*AVERAGE(E$317,E$315,E$290,E$311,E$296,E$304,E$308,E$283,E$289,E$282))))</f>
        <v>50.118341466801141</v>
      </c>
      <c r="AJ317" s="847">
        <f>100*100*((AVERAGE(E$317,E$315,E$290,E$311,E$296,E$304,E$308,E$283,E$289,E$282)-W317)/((100-W317)*AVERAGE(E$317,E$315,E$290,E$311,E$296,E$304,E$308,E$283,E$289,E$282)))</f>
        <v>42.453315213610807</v>
      </c>
      <c r="AK317" s="318">
        <v>6.98</v>
      </c>
      <c r="AL317" s="319">
        <v>34.4</v>
      </c>
      <c r="AM317" s="319">
        <v>409</v>
      </c>
      <c r="AN317" s="846">
        <f t="shared" si="356"/>
        <v>60.480000000000004</v>
      </c>
      <c r="AO317" s="847">
        <f t="shared" si="357"/>
        <v>23.363095238095237</v>
      </c>
      <c r="AP317" s="313">
        <v>249</v>
      </c>
      <c r="AQ317" s="490">
        <f t="shared" si="336"/>
        <v>14845.331250000001</v>
      </c>
      <c r="AR317" s="348">
        <f t="shared" si="358"/>
        <v>965.54999999999927</v>
      </c>
      <c r="AS317" s="512">
        <f t="shared" si="359"/>
        <v>40.231249999999967</v>
      </c>
      <c r="AT317" s="334">
        <f>AR317/(AVERAGE(AN317)*(AVERAGE(D$317,D$315,D$290,D$311,D$296,D$304,D$308,D$283,D$289,D$282))*AVERAGE(E$317,E$315,E$290,E$311,E$296,E$304,E$308,E$283,E$289,E$282)*0.0001)</f>
        <v>562.95051011777252</v>
      </c>
      <c r="AU317" s="348">
        <f>(AQ317-AQ311)/(AVERAGE(AN311:AN317)*((AVERAGE(D$317,D$315,D$290,D$311,D$296,D$304,D$308,D$283,D$289,D$282)*AVERAGE(E$317,E$315,E$290,E$311,E$296,E$304,E$308,E$283,E$289,E$282))-(V317*W317))*0.0001*(SUM(C311:C317)/24))</f>
        <v>892.5766270345182</v>
      </c>
      <c r="AV317" s="512">
        <f>AR317/(AVERAGE(AN317)*AVERAGE(D$317,D$315,D$290,D$311,D$296,D$304,D$308,D$283,D$289,D$282)*0.01)</f>
        <v>426.63767359785498</v>
      </c>
      <c r="AW317" s="848">
        <f t="shared" si="323"/>
        <v>0.68333333333333279</v>
      </c>
      <c r="AX317" s="319">
        <v>68.900000000000006</v>
      </c>
      <c r="AY317" s="319">
        <v>28.3</v>
      </c>
      <c r="AZ317" s="319">
        <v>0</v>
      </c>
      <c r="BA317" s="319">
        <v>54</v>
      </c>
      <c r="BB317" s="319">
        <v>65</v>
      </c>
      <c r="BC317" s="320"/>
      <c r="BD317" s="368"/>
      <c r="BE317" s="368"/>
      <c r="BF317" s="757"/>
      <c r="BG317" s="339">
        <v>2.2999999999999998</v>
      </c>
      <c r="BH317" s="365">
        <v>59.1</v>
      </c>
      <c r="BI317" s="319"/>
      <c r="BJ317" s="319"/>
      <c r="BK317" s="319"/>
      <c r="BL317" s="317"/>
      <c r="BM317" s="317"/>
      <c r="BN317" s="320"/>
      <c r="BO317" s="859">
        <f>D315*(100-E315)/(100-BH317)</f>
        <v>1.8117359413202936</v>
      </c>
      <c r="BP317" s="753">
        <f>D315-BG317</f>
        <v>0.70000000000000018</v>
      </c>
      <c r="BQ317" s="860">
        <f>100*(AVERAGE(D$317,D$315,D$290,D$311,D$296,D$304,D$308,D$283,D$289,D$282)-BG317)/AVERAGE(D$317,D$315,D$290,D$311,D$296,D$304,D$308,D$283,D$289,D$282)</f>
        <v>38.535542490646705</v>
      </c>
      <c r="BR317" s="861">
        <f>100*(1-((100-AVERAGE(E$317,E$315,E$290,E$311,E$296,E$304,E$308,E$283,E$289,E$282))/(100-BH317)))</f>
        <v>40.797066014669895</v>
      </c>
      <c r="BS317" s="858">
        <f>E315-BH317</f>
        <v>16.199999999999996</v>
      </c>
      <c r="BT317" s="862">
        <f>100*(1-((BG317*BH317)/(AVERAGE(D$317,D$315,D$290,D$311,D$296,D$304,D$308,D$283,D$289,D$282)*AVERAGE(E$317,E$315,E$290,E$311,E$296,E$304,E$308,E$283,E$289,E$282))))</f>
        <v>52.06833136987332</v>
      </c>
      <c r="BU317" s="863">
        <f>100*100*((AVERAGE(E$317,E$315,E$290,E$311,E$296,E$304,E$308,E$283,E$289,E$282)-BH317)/((100-BH317)*AVERAGE(E$317,E$315,E$290,E$311,E$296,E$304,E$308,E$283,E$289,E$282)))</f>
        <v>53.831929399453593</v>
      </c>
      <c r="BV317" s="318">
        <v>7.18</v>
      </c>
      <c r="BW317" s="319">
        <v>50.6</v>
      </c>
      <c r="BX317" s="319">
        <v>230</v>
      </c>
      <c r="BY317" s="462">
        <f t="shared" si="362"/>
        <v>32</v>
      </c>
      <c r="BZ317" s="462">
        <f t="shared" si="363"/>
        <v>23.3125</v>
      </c>
      <c r="CA317" s="348">
        <v>154</v>
      </c>
      <c r="CB317" s="348">
        <f t="shared" si="347"/>
        <v>28779.081249999999</v>
      </c>
      <c r="CC317" s="334">
        <f t="shared" si="364"/>
        <v>613.28125</v>
      </c>
      <c r="CD317" s="334">
        <f t="shared" si="365"/>
        <v>25.553385416666668</v>
      </c>
      <c r="CE317" s="984">
        <f>CC317/(AVERAGE(BY316,BY317)*(AVERAGE(D$317,D$315,D$290,D$311,D$296,D$304,D$308,D$283,D$289,D$282))*AVERAGE(E$317,E$315,E$290,E$311,E$296,E$304,E$308,E$283,E$289,E$282)*0.0001)</f>
        <v>675.79805902095461</v>
      </c>
      <c r="CF317" s="313">
        <f>(CB317-CB311)/(AVERAGE(BY311:BY317)*((AVERAGE(D$317,D$315,D$290,D$311,D$296,D$304,D$308,D$283,D$289,D$282)*AVERAGE(E$317,E$315,E$290,E$311,E$296,E$304,E$308,E$283,E$289,E$282))-(BG317*BH317))*0.0001*(SUM(C311:C317)/24))</f>
        <v>1038.3248953692735</v>
      </c>
      <c r="CG317" s="441">
        <f>CC317/(AVERAGE(BY317)*AVERAGE((D$317,D$315,D$290,D$311,D$296,D$304,D$308,D$283,D$289,D$282))*0.01)</f>
        <v>512.1603170096206</v>
      </c>
      <c r="CH317" s="477">
        <f t="shared" si="297"/>
        <v>0.82209282841823061</v>
      </c>
      <c r="CI317" s="319">
        <v>69.8</v>
      </c>
      <c r="CJ317" s="319">
        <v>28.9</v>
      </c>
      <c r="CK317" s="319">
        <v>0</v>
      </c>
      <c r="CL317" s="319">
        <v>58</v>
      </c>
      <c r="CM317" s="319">
        <v>105</v>
      </c>
      <c r="CN317" s="442"/>
    </row>
    <row r="318" spans="1:92" s="337" customFormat="1" ht="15">
      <c r="A318" s="309">
        <f t="shared" si="292"/>
        <v>41473</v>
      </c>
      <c r="B318" s="310">
        <v>0.33333333333333098</v>
      </c>
      <c r="C318" s="311">
        <f t="shared" si="351"/>
        <v>24</v>
      </c>
      <c r="D318" s="318">
        <v>3.9</v>
      </c>
      <c r="E318" s="319">
        <v>74.599999999999994</v>
      </c>
      <c r="F318" s="313">
        <v>44300</v>
      </c>
      <c r="G318" s="319"/>
      <c r="H318" s="319">
        <v>43</v>
      </c>
      <c r="I318" s="313">
        <v>4915</v>
      </c>
      <c r="J318" s="315">
        <v>2221</v>
      </c>
      <c r="K318" s="315">
        <v>37</v>
      </c>
      <c r="L318" s="320">
        <v>235</v>
      </c>
      <c r="M318" s="317"/>
      <c r="N318" s="319"/>
      <c r="O318" s="472"/>
      <c r="P318" s="763"/>
      <c r="Q318" s="764"/>
      <c r="R318" s="765"/>
      <c r="S318" s="952"/>
      <c r="T318" s="952"/>
      <c r="U318" s="757"/>
      <c r="V318" s="318">
        <v>2.4</v>
      </c>
      <c r="W318" s="319">
        <v>64.2</v>
      </c>
      <c r="X318" s="348">
        <v>24700</v>
      </c>
      <c r="Y318" s="319">
        <v>35</v>
      </c>
      <c r="Z318" s="319">
        <v>1711</v>
      </c>
      <c r="AA318" s="317">
        <v>554</v>
      </c>
      <c r="AB318" s="317">
        <v>70</v>
      </c>
      <c r="AC318" s="320">
        <v>132</v>
      </c>
      <c r="AD318" s="752">
        <f>D317*(100-E317)/(100-W318)</f>
        <v>2.5217877094972079</v>
      </c>
      <c r="AE318" s="753">
        <f>D317-V318</f>
        <v>1.3000000000000003</v>
      </c>
      <c r="AF318" s="864">
        <f>100*(AVERAGE(D$317,D$315,D$290,D$311,D$296,D$304,D$308,D$283,D$289,D$318)-V318)/AVERAGE(D$317,D$315,D$290,D$311,D$296,D$304,D$308,D$283,D$289,D$318)</f>
        <v>35.170178282009715</v>
      </c>
      <c r="AG318" s="864">
        <f>100*(1-((100-AVERAGE(E$317,E$315,E$290,E$311,E$296,E$304,E$308,E$283,E$289,E$318))/(100-W318)))</f>
        <v>32.279329608938546</v>
      </c>
      <c r="AH318" s="753">
        <f>E317-W318</f>
        <v>11.399999999999991</v>
      </c>
      <c r="AI318" s="847">
        <f>100*(1-((V318*W318)/(AVERAGE(D$317,D$315,D$290,D$311,D$296,D$304,D$308,D$283,D$289,D$318)*AVERAGE(E$317,E$315,E$290,E$311,E$296,E$304,E$308,E$283,E$289,E$318))))</f>
        <v>45.059473120347207</v>
      </c>
      <c r="AJ318" s="847">
        <f>100*100*((AVERAGE(E$317,E$315,E$290,E$311,E$296,E$304,E$308,E$283,E$289,E$318)-W318)/((100-W318)*AVERAGE(E$317,E$315,E$290,E$311,E$296,E$304,E$308,E$283,E$289,E$318)))</f>
        <v>42.609601363507245</v>
      </c>
      <c r="AK318" s="318"/>
      <c r="AL318" s="319">
        <v>35.299999999999997</v>
      </c>
      <c r="AM318" s="319">
        <v>437</v>
      </c>
      <c r="AN318" s="846">
        <f t="shared" si="356"/>
        <v>60.480000000000004</v>
      </c>
      <c r="AO318" s="847">
        <f t="shared" si="357"/>
        <v>23.363095238095237</v>
      </c>
      <c r="AP318" s="313">
        <v>265</v>
      </c>
      <c r="AQ318" s="490">
        <f t="shared" si="336"/>
        <v>15810.88125</v>
      </c>
      <c r="AR318" s="348">
        <f t="shared" si="358"/>
        <v>965.54999999999927</v>
      </c>
      <c r="AS318" s="512">
        <f t="shared" si="359"/>
        <v>40.231249999999967</v>
      </c>
      <c r="AT318" s="334">
        <f>AR318/(AVERAGE(AN318)*(AVERAGE(D$317,D$315,D$290,D$311,D$296,D$304,D$308,D$283,D$289,D$318))*AVERAGE(E$317,E$315,E$290,E$311,E$296,E$304,E$308,E$283,E$289,E$318)*0.0001)</f>
        <v>569.2585154761465</v>
      </c>
      <c r="AU318" s="348">
        <f>(AQ318-AQ312)/(AVERAGE(AN312:AN318)*((AVERAGE(D$317,D$315,D$290,D$311,D$296,D$304,D$308,D$283,D$289,D$318)*AVERAGE(E$317,E$315,E$290,E$311,E$296,E$304,E$308,E$283,E$289,E$318))-(V318*W318))*0.0001*(SUM(C312:C318)/24))</f>
        <v>1015.1913611725189</v>
      </c>
      <c r="AV318" s="512">
        <f>AR318/(AVERAGE(AN318)*AVERAGE(D$317,D$315,D$290,D$311,D$296,D$304,D$308,D$283,D$289,D$318)*0.01)</f>
        <v>431.24748098410953</v>
      </c>
      <c r="AW318" s="848">
        <f t="shared" si="323"/>
        <v>0.68333333333333279</v>
      </c>
      <c r="AX318" s="319"/>
      <c r="AY318" s="319"/>
      <c r="AZ318" s="319"/>
      <c r="BA318" s="319"/>
      <c r="BB318" s="319"/>
      <c r="BC318" s="320"/>
      <c r="BD318" s="368"/>
      <c r="BE318" s="368"/>
      <c r="BF318" s="317"/>
      <c r="BG318" s="318">
        <v>2.4</v>
      </c>
      <c r="BH318" s="319">
        <v>62.7</v>
      </c>
      <c r="BI318" s="348">
        <v>24100</v>
      </c>
      <c r="BJ318" s="319">
        <v>30</v>
      </c>
      <c r="BK318" s="348">
        <v>2479</v>
      </c>
      <c r="BL318" s="315">
        <v>447</v>
      </c>
      <c r="BM318" s="315">
        <v>81</v>
      </c>
      <c r="BN318" s="320">
        <v>104</v>
      </c>
      <c r="BO318" s="859">
        <f>D317*(100-E317)/(100-BH318)</f>
        <v>2.4203753351206445</v>
      </c>
      <c r="BP318" s="753">
        <f>D317-BG318</f>
        <v>1.3000000000000003</v>
      </c>
      <c r="BQ318" s="860">
        <f>100*(AVERAGE(D$317,D$315,D$290,D$311,D$296,D$304,D$308,D$283,D$289,D$318)-BG318)/AVERAGE(D$317,D$315,D$290,D$311,D$296,D$304,D$308,D$283,D$289,D$318)</f>
        <v>35.170178282009715</v>
      </c>
      <c r="BR318" s="861">
        <f>100*(1-((100-AVERAGE(E$317,E$315,E$290,E$311,E$296,E$304,E$308,E$283,E$289,E$318))/(100-BH318)))</f>
        <v>35.002680965147448</v>
      </c>
      <c r="BS318" s="858">
        <f>E317-BH318</f>
        <v>12.899999999999991</v>
      </c>
      <c r="BT318" s="862">
        <f>100*(1-((BG318*BH318)/(AVERAGE(D$317,D$315,D$290,D$311,D$296,D$304,D$308,D$283,D$289,D$318)*AVERAGE(E$317,E$315,E$290,E$311,E$296,E$304,E$308,E$283,E$289,E$318))))</f>
        <v>46.343130290432569</v>
      </c>
      <c r="BU318" s="863">
        <f>100*100*((AVERAGE(E$317,E$315,E$290,E$311,E$296,E$304,E$308,E$283,E$289,E$318)-BH318)/((100-BH318)*AVERAGE(E$317,E$315,E$290,E$311,E$296,E$304,E$308,E$283,E$289,E$318)))</f>
        <v>46.204499927593126</v>
      </c>
      <c r="BV318" s="318"/>
      <c r="BW318" s="319">
        <v>50.5</v>
      </c>
      <c r="BX318" s="319">
        <v>246</v>
      </c>
      <c r="BY318" s="462">
        <f t="shared" si="362"/>
        <v>32</v>
      </c>
      <c r="BZ318" s="462">
        <f t="shared" si="363"/>
        <v>23.3125</v>
      </c>
      <c r="CA318" s="348">
        <v>164</v>
      </c>
      <c r="CB318" s="348">
        <f t="shared" si="347"/>
        <v>29392.362499999999</v>
      </c>
      <c r="CC318" s="334">
        <f t="shared" si="364"/>
        <v>613.28125</v>
      </c>
      <c r="CD318" s="334">
        <f t="shared" si="365"/>
        <v>25.553385416666668</v>
      </c>
      <c r="CE318" s="984">
        <f>CC318/(AVERAGE(BY317,BY318)*(AVERAGE(D$317,D$315,D$290,D$311,D$296,D$304,D$308,D$283,D$289,D$318))*AVERAGE(E$317,E$315,E$290,E$311,E$296,E$304,E$308,E$283,E$289,E$318)*0.0001)</f>
        <v>683.37055020955142</v>
      </c>
      <c r="CF318" s="313">
        <f>(CB318-CB312)/(AVERAGE(BY312:BY318)*((AVERAGE(D$317,D$315,D$290,D$311,D$296,D$304,D$308,D$283,D$289,D$318)*AVERAGE(E$317,E$315,E$290,E$311,E$296,E$304,E$308,E$283,E$289,E$318))-(BG318*BH318))*0.0001*(SUM(C312:C318)/24))</f>
        <v>1232.809269379256</v>
      </c>
      <c r="CG318" s="441">
        <f>CC318/(AVERAGE(BY318)*AVERAGE((D$317,D$315,D$290,D$311,D$296,D$304,D$308,D$283,D$289,D$318))*0.01)</f>
        <v>517.6941940167477</v>
      </c>
      <c r="CH318" s="477">
        <f t="shared" si="297"/>
        <v>0.82209282841823061</v>
      </c>
      <c r="CI318" s="319"/>
      <c r="CJ318" s="319"/>
      <c r="CK318" s="319"/>
      <c r="CL318" s="319"/>
      <c r="CM318" s="319"/>
      <c r="CN318" s="442"/>
    </row>
    <row r="319" spans="1:92" s="677" customFormat="1" ht="15">
      <c r="A319" s="378">
        <f t="shared" si="292"/>
        <v>41474</v>
      </c>
      <c r="B319" s="663">
        <v>0.33333333333333098</v>
      </c>
      <c r="C319" s="304">
        <f t="shared" si="351"/>
        <v>24</v>
      </c>
      <c r="D319" s="665"/>
      <c r="E319" s="293"/>
      <c r="F319" s="293"/>
      <c r="G319" s="293"/>
      <c r="H319" s="293"/>
      <c r="I319" s="293"/>
      <c r="J319" s="666"/>
      <c r="K319" s="666"/>
      <c r="L319" s="299"/>
      <c r="M319" s="666"/>
      <c r="N319" s="293"/>
      <c r="O319" s="667"/>
      <c r="P319" s="773"/>
      <c r="Q319" s="774"/>
      <c r="R319" s="775"/>
      <c r="S319" s="786"/>
      <c r="T319" s="786"/>
      <c r="U319" s="816"/>
      <c r="V319" s="665"/>
      <c r="W319" s="293"/>
      <c r="X319" s="293"/>
      <c r="Y319" s="293"/>
      <c r="Z319" s="293"/>
      <c r="AA319" s="666"/>
      <c r="AB319" s="666"/>
      <c r="AC319" s="299"/>
      <c r="AD319" s="965"/>
      <c r="AE319" s="965"/>
      <c r="AF319" s="965"/>
      <c r="AG319" s="966"/>
      <c r="AH319" s="966"/>
      <c r="AI319" s="967"/>
      <c r="AJ319" s="968"/>
      <c r="AK319" s="665"/>
      <c r="AL319" s="293">
        <v>35.299999999999997</v>
      </c>
      <c r="AM319" s="293">
        <v>455</v>
      </c>
      <c r="AN319" s="853">
        <f t="shared" si="356"/>
        <v>38.880000000000003</v>
      </c>
      <c r="AO319" s="854">
        <f t="shared" si="357"/>
        <v>36.342592592592588</v>
      </c>
      <c r="AP319" s="301">
        <v>279</v>
      </c>
      <c r="AQ319" s="490">
        <f t="shared" si="336"/>
        <v>16655.737500000003</v>
      </c>
      <c r="AR319" s="76">
        <f t="shared" si="358"/>
        <v>844.85625000000255</v>
      </c>
      <c r="AS319" s="230">
        <f t="shared" si="359"/>
        <v>35.202343750000104</v>
      </c>
      <c r="AT319" s="208">
        <f t="shared" ref="AT319:AT320" si="366">AR319/(AVERAGE(AN319)*(AVERAGE(D$317,D$315,D$290,D$311,D$296,D$304,D$308,D$283,D$289,D$318))*AVERAGE(E$317,E$315,E$290,E$311,E$296,E$304,E$308,E$283,E$289,E$318)*0.0001)</f>
        <v>774.82409050920239</v>
      </c>
      <c r="AU319" s="585"/>
      <c r="AV319" s="230">
        <f t="shared" ref="AV319:AV320" si="367">AR319/(AVERAGE(AN319)*AVERAGE(D$317,D$315,D$290,D$311,D$296,D$304,D$308,D$283,D$289,D$318)*0.01)</f>
        <v>586.97573800615135</v>
      </c>
      <c r="AW319" s="855">
        <f t="shared" si="323"/>
        <v>0.59791666666666843</v>
      </c>
      <c r="AX319" s="293"/>
      <c r="AY319" s="293"/>
      <c r="AZ319" s="293"/>
      <c r="BA319" s="293"/>
      <c r="BB319" s="293"/>
      <c r="BC319" s="299"/>
      <c r="BD319" s="786"/>
      <c r="BE319" s="786"/>
      <c r="BF319" s="666"/>
      <c r="BG319" s="665"/>
      <c r="BH319" s="293"/>
      <c r="BI319" s="293"/>
      <c r="BJ319" s="293"/>
      <c r="BK319" s="293"/>
      <c r="BL319" s="666"/>
      <c r="BM319" s="666"/>
      <c r="BN319" s="299"/>
      <c r="BO319" s="298"/>
      <c r="BP319" s="298"/>
      <c r="BQ319" s="298"/>
      <c r="BR319" s="293"/>
      <c r="BS319" s="671"/>
      <c r="BT319" s="293"/>
      <c r="BU319" s="675"/>
      <c r="BV319" s="665"/>
      <c r="BW319" s="293">
        <v>50.7</v>
      </c>
      <c r="BX319" s="293">
        <v>263</v>
      </c>
      <c r="BY319" s="159">
        <f t="shared" si="362"/>
        <v>34</v>
      </c>
      <c r="BZ319" s="159">
        <f t="shared" si="363"/>
        <v>21.941176470588236</v>
      </c>
      <c r="CA319" s="490">
        <v>175</v>
      </c>
      <c r="CB319" s="490">
        <f t="shared" si="347"/>
        <v>30066.971874999999</v>
      </c>
      <c r="CC319" s="208">
        <f t="shared" si="364"/>
        <v>674.609375</v>
      </c>
      <c r="CD319" s="208">
        <f t="shared" si="365"/>
        <v>28.108723958333332</v>
      </c>
      <c r="CE319" s="985">
        <f>CC319/(AVERAGE(BY318,BY319)*(AVERAGE(D$317,D$315,D$290,D$311,D$296,D$304,D$308,D$283,D$289,D$318))*AVERAGE(E$317,E$315,E$290,E$311,E$296,E$304,E$308,E$283,E$289,E$318)*0.0001)</f>
        <v>728.92858689018806</v>
      </c>
      <c r="CF319" s="180"/>
      <c r="CG319" s="180">
        <f>CC319/(AVERAGE(BY319)*AVERAGE((D$317,D$315,D$290,D$311,D$296,D$304,D$308,D$283,D$289,D$318))*0.01)</f>
        <v>535.9657538055742</v>
      </c>
      <c r="CH319" s="433">
        <f t="shared" si="297"/>
        <v>0.90430211126005366</v>
      </c>
      <c r="CI319" s="293"/>
      <c r="CJ319" s="293"/>
      <c r="CK319" s="293"/>
      <c r="CL319" s="293"/>
      <c r="CM319" s="293"/>
      <c r="CN319" s="676"/>
    </row>
    <row r="320" spans="1:92" s="677" customFormat="1">
      <c r="A320" s="378">
        <f t="shared" si="292"/>
        <v>41475</v>
      </c>
      <c r="B320" s="663">
        <v>0.33333333333333098</v>
      </c>
      <c r="C320" s="304">
        <f t="shared" si="351"/>
        <v>24</v>
      </c>
      <c r="D320" s="665"/>
      <c r="E320" s="293"/>
      <c r="F320" s="293"/>
      <c r="G320" s="293"/>
      <c r="H320" s="293"/>
      <c r="I320" s="293"/>
      <c r="J320" s="666"/>
      <c r="K320" s="666"/>
      <c r="L320" s="299"/>
      <c r="M320" s="666"/>
      <c r="N320" s="293"/>
      <c r="O320" s="667"/>
      <c r="P320" s="665"/>
      <c r="Q320" s="293"/>
      <c r="R320" s="675"/>
      <c r="S320" s="666"/>
      <c r="T320" s="666"/>
      <c r="U320" s="816"/>
      <c r="V320" s="665"/>
      <c r="W320" s="293"/>
      <c r="X320" s="293"/>
      <c r="Y320" s="293"/>
      <c r="Z320" s="293"/>
      <c r="AA320" s="666"/>
      <c r="AB320" s="666"/>
      <c r="AC320" s="299"/>
      <c r="AD320" s="965"/>
      <c r="AE320" s="965"/>
      <c r="AF320" s="965"/>
      <c r="AG320" s="966"/>
      <c r="AH320" s="966"/>
      <c r="AI320" s="967"/>
      <c r="AJ320" s="968"/>
      <c r="AK320" s="665"/>
      <c r="AL320" s="293">
        <v>35.200000000000003</v>
      </c>
      <c r="AM320" s="293">
        <v>466</v>
      </c>
      <c r="AN320" s="853">
        <f t="shared" ref="AN320:AN325" si="368">(AM320-AM319)*AQ$1/((C319)/24)</f>
        <v>23.76</v>
      </c>
      <c r="AO320" s="854">
        <f t="shared" ref="AO320:AO325" si="369">AQ$3/AN320</f>
        <v>59.469696969696969</v>
      </c>
      <c r="AP320" s="301">
        <v>292</v>
      </c>
      <c r="AQ320" s="490">
        <f t="shared" si="336"/>
        <v>17440.246875000001</v>
      </c>
      <c r="AR320" s="76">
        <f t="shared" si="358"/>
        <v>784.50937499999782</v>
      </c>
      <c r="AS320" s="230">
        <f t="shared" si="359"/>
        <v>32.687890624999909</v>
      </c>
      <c r="AT320" s="208">
        <f t="shared" si="366"/>
        <v>1177.3301115529368</v>
      </c>
      <c r="AU320" s="585"/>
      <c r="AV320" s="230">
        <f t="shared" si="367"/>
        <v>891.89819930804288</v>
      </c>
      <c r="AW320" s="855">
        <f t="shared" si="323"/>
        <v>0.55520833333333175</v>
      </c>
      <c r="AX320" s="293"/>
      <c r="AY320" s="293"/>
      <c r="AZ320" s="293"/>
      <c r="BA320" s="293"/>
      <c r="BB320" s="293"/>
      <c r="BC320" s="299"/>
      <c r="BD320" s="671"/>
      <c r="BE320" s="671"/>
      <c r="BF320" s="666"/>
      <c r="BG320" s="665"/>
      <c r="BH320" s="293"/>
      <c r="BI320" s="293"/>
      <c r="BJ320" s="293"/>
      <c r="BK320" s="293"/>
      <c r="BL320" s="666"/>
      <c r="BM320" s="666"/>
      <c r="BN320" s="299"/>
      <c r="BO320" s="298"/>
      <c r="BP320" s="298"/>
      <c r="BQ320" s="298"/>
      <c r="BR320" s="293"/>
      <c r="BS320" s="671"/>
      <c r="BT320" s="293"/>
      <c r="BU320" s="675"/>
      <c r="BV320" s="665"/>
      <c r="BW320" s="293">
        <v>50.6</v>
      </c>
      <c r="BX320" s="293">
        <v>278</v>
      </c>
      <c r="BY320" s="159">
        <f t="shared" ref="BY320:BY327" si="370">(BX320-BX319)*CB$1/((C320)/24)</f>
        <v>30</v>
      </c>
      <c r="BZ320" s="159">
        <f t="shared" ref="BZ320:BZ327" si="371">CB$3/BY320</f>
        <v>24.866666666666667</v>
      </c>
      <c r="CA320" s="490">
        <v>186</v>
      </c>
      <c r="CB320" s="490">
        <f t="shared" si="347"/>
        <v>30741.581249999999</v>
      </c>
      <c r="CC320" s="208">
        <f t="shared" si="364"/>
        <v>674.609375</v>
      </c>
      <c r="CD320" s="208">
        <f t="shared" si="365"/>
        <v>28.108723958333332</v>
      </c>
      <c r="CE320" s="985">
        <f>CC320/(AVERAGE(BY319,BY320)*(AVERAGE(D$317,D$315,D$290,D$311,D$296,D$304,D$308,D$283,D$289,D$318))*AVERAGE(E$317,E$315,E$290,E$311,E$296,E$304,E$308,E$283,E$289,E$318)*0.0001)</f>
        <v>751.7076052305066</v>
      </c>
      <c r="CF320" s="180"/>
      <c r="CG320" s="180">
        <f>CC320/(AVERAGE(BY320)*AVERAGE((D$317,D$315,D$290,D$311,D$296,D$304,D$308,D$283,D$289,D$318))*0.01)</f>
        <v>607.4278543129841</v>
      </c>
      <c r="CH320" s="433">
        <f t="shared" si="297"/>
        <v>0.90430211126005366</v>
      </c>
      <c r="CI320" s="293"/>
      <c r="CJ320" s="293"/>
      <c r="CK320" s="293"/>
      <c r="CL320" s="293"/>
      <c r="CM320" s="293"/>
      <c r="CN320" s="676"/>
    </row>
    <row r="321" spans="1:92" s="677" customFormat="1">
      <c r="A321" s="378">
        <f t="shared" si="292"/>
        <v>41476</v>
      </c>
      <c r="B321" s="663">
        <v>0.33333333333333098</v>
      </c>
      <c r="C321" s="304">
        <f t="shared" si="351"/>
        <v>24</v>
      </c>
      <c r="D321" s="665"/>
      <c r="E321" s="293"/>
      <c r="F321" s="293"/>
      <c r="G321" s="293"/>
      <c r="H321" s="293"/>
      <c r="I321" s="293"/>
      <c r="J321" s="666"/>
      <c r="K321" s="666"/>
      <c r="L321" s="299"/>
      <c r="M321" s="666"/>
      <c r="N321" s="293"/>
      <c r="O321" s="667"/>
      <c r="P321" s="665"/>
      <c r="Q321" s="293"/>
      <c r="R321" s="675"/>
      <c r="S321" s="666"/>
      <c r="T321" s="666"/>
      <c r="U321" s="777"/>
      <c r="V321" s="665"/>
      <c r="W321" s="293"/>
      <c r="X321" s="293"/>
      <c r="Y321" s="293"/>
      <c r="Z321" s="293"/>
      <c r="AA321" s="666"/>
      <c r="AB321" s="666"/>
      <c r="AC321" s="299"/>
      <c r="AD321" s="965"/>
      <c r="AE321" s="965"/>
      <c r="AF321" s="965"/>
      <c r="AG321" s="966"/>
      <c r="AH321" s="966"/>
      <c r="AI321" s="967"/>
      <c r="AJ321" s="968"/>
      <c r="AK321" s="665"/>
      <c r="AL321" s="293">
        <v>35.299999999999997</v>
      </c>
      <c r="AM321" s="293">
        <v>466</v>
      </c>
      <c r="AN321" s="853">
        <f t="shared" si="368"/>
        <v>0</v>
      </c>
      <c r="AO321" s="854"/>
      <c r="AP321" s="301">
        <v>297</v>
      </c>
      <c r="AQ321" s="490">
        <f t="shared" si="336"/>
        <v>17741.981250000001</v>
      </c>
      <c r="AR321" s="76">
        <f t="shared" si="358"/>
        <v>301.734375</v>
      </c>
      <c r="AS321" s="230">
        <f t="shared" si="359"/>
        <v>12.572265625</v>
      </c>
      <c r="AT321" s="208"/>
      <c r="AU321" s="585"/>
      <c r="AV321" s="230"/>
      <c r="AW321" s="855">
        <f t="shared" si="323"/>
        <v>0.21354166666666666</v>
      </c>
      <c r="AX321" s="293"/>
      <c r="AY321" s="293"/>
      <c r="AZ321" s="293"/>
      <c r="BA321" s="293"/>
      <c r="BB321" s="293"/>
      <c r="BC321" s="299"/>
      <c r="BD321" s="671"/>
      <c r="BE321" s="671"/>
      <c r="BF321" s="666"/>
      <c r="BG321" s="665"/>
      <c r="BH321" s="293"/>
      <c r="BI321" s="293"/>
      <c r="BJ321" s="293"/>
      <c r="BK321" s="293"/>
      <c r="BL321" s="666"/>
      <c r="BM321" s="666"/>
      <c r="BN321" s="299"/>
      <c r="BO321" s="298"/>
      <c r="BP321" s="298"/>
      <c r="BQ321" s="298"/>
      <c r="BR321" s="293"/>
      <c r="BS321" s="671"/>
      <c r="BT321" s="293"/>
      <c r="BU321" s="675"/>
      <c r="BV321" s="665"/>
      <c r="BW321" s="293">
        <v>50.6</v>
      </c>
      <c r="BX321" s="293">
        <v>294</v>
      </c>
      <c r="BY321" s="159">
        <f t="shared" si="370"/>
        <v>32</v>
      </c>
      <c r="BZ321" s="159">
        <f t="shared" si="371"/>
        <v>23.3125</v>
      </c>
      <c r="CA321" s="490">
        <v>198</v>
      </c>
      <c r="CB321" s="490">
        <f t="shared" si="347"/>
        <v>31477.518749999999</v>
      </c>
      <c r="CC321" s="208">
        <f t="shared" si="364"/>
        <v>735.9375</v>
      </c>
      <c r="CD321" s="208">
        <f t="shared" si="365"/>
        <v>30.6640625</v>
      </c>
      <c r="CE321" s="985">
        <f>CC321/(AVERAGE(BY320,BY321)*(AVERAGE(D$317,D$315,D$290,D$311,D$296,D$304,D$308,D$283,D$289,D$318))*AVERAGE(E$317,E$315,E$290,E$311,E$296,E$304,E$308,E$283,E$289,E$318)*0.0001)</f>
        <v>846.49771380796039</v>
      </c>
      <c r="CF321" s="180"/>
      <c r="CG321" s="180">
        <f>CC321/(AVERAGE(BY321)*AVERAGE((D$317,D$315,D$290,D$311,D$296,D$304,D$308,D$283,D$289,D$318))*0.01)</f>
        <v>621.23303282009726</v>
      </c>
      <c r="CH321" s="433">
        <f t="shared" si="297"/>
        <v>0.98651139410187672</v>
      </c>
      <c r="CI321" s="293"/>
      <c r="CJ321" s="293"/>
      <c r="CK321" s="293"/>
      <c r="CL321" s="293"/>
      <c r="CM321" s="293"/>
      <c r="CN321" s="676"/>
    </row>
    <row r="322" spans="1:92" s="337" customFormat="1" ht="15">
      <c r="A322" s="309">
        <f t="shared" si="292"/>
        <v>41477</v>
      </c>
      <c r="B322" s="310">
        <v>0.33333333333333098</v>
      </c>
      <c r="C322" s="311">
        <f t="shared" si="351"/>
        <v>24</v>
      </c>
      <c r="D322" s="339">
        <v>4.0199999999999996</v>
      </c>
      <c r="E322" s="365">
        <v>78.23</v>
      </c>
      <c r="F322" s="319"/>
      <c r="G322" s="319">
        <v>5.1100000000000003</v>
      </c>
      <c r="H322" s="319"/>
      <c r="I322" s="319"/>
      <c r="J322" s="317"/>
      <c r="K322" s="317"/>
      <c r="L322" s="320"/>
      <c r="M322" s="317"/>
      <c r="N322" s="319"/>
      <c r="O322" s="472"/>
      <c r="P322" s="763"/>
      <c r="Q322" s="764"/>
      <c r="R322" s="765"/>
      <c r="S322" s="317"/>
      <c r="T322" s="317"/>
      <c r="U322" s="689"/>
      <c r="V322" s="339">
        <v>2.29</v>
      </c>
      <c r="W322" s="365">
        <v>65.28</v>
      </c>
      <c r="X322" s="319"/>
      <c r="Y322" s="319"/>
      <c r="Z322" s="319"/>
      <c r="AA322" s="317"/>
      <c r="AB322" s="317"/>
      <c r="AC322" s="320"/>
      <c r="AD322" s="752">
        <f>D318*(100-E318)/(100-W322)</f>
        <v>2.8531105990783416</v>
      </c>
      <c r="AE322" s="753">
        <f>D318-V322</f>
        <v>1.6099999999999999</v>
      </c>
      <c r="AF322" s="864">
        <f>100*(AVERAGE(D$317,D$315,D$290,D$311,D$296,D$304,D$308,D$322,D$289,D$318)-V322)/AVERAGE(D$317,D$315,D$290,D$311,D$296,D$304,D$308,D$322,D$289,D$318)</f>
        <v>36.635307138904253</v>
      </c>
      <c r="AG322" s="864">
        <f>100*(1-((100-AVERAGE(E$317,E$315,E$290,E$311,E$296,E$304,E$308,E$322,E$289,E$318))/(100-W322)))</f>
        <v>30.671082949308758</v>
      </c>
      <c r="AH322" s="753">
        <f>E318-W322</f>
        <v>9.3199999999999932</v>
      </c>
      <c r="AI322" s="847">
        <f>100*(1-((V322*W322)/(AVERAGE(D$317,D$315,D$290,D$311,D$296,D$304,D$308,D$322,D$289,D$318)*AVERAGE(E$317,E$315,E$290,E$311,E$296,E$304,E$308,E$322,E$289,E$318))))</f>
        <v>45.522170053967123</v>
      </c>
      <c r="AJ322" s="847">
        <f>100*100*((AVERAGE(E$317,E$315,E$290,E$311,E$296,E$304,E$308,E$322,E$289,E$318)-W322)/((100-W322)*AVERAGE(E$317,E$315,E$290,E$311,E$296,E$304,E$308,E$322,E$289,E$318)))</f>
        <v>40.394424988224209</v>
      </c>
      <c r="AK322" s="318">
        <v>7.12</v>
      </c>
      <c r="AL322" s="319">
        <v>33.9</v>
      </c>
      <c r="AM322" s="319">
        <v>466</v>
      </c>
      <c r="AN322" s="846">
        <f t="shared" si="368"/>
        <v>0</v>
      </c>
      <c r="AO322" s="847"/>
      <c r="AP322" s="313">
        <v>301</v>
      </c>
      <c r="AQ322" s="490">
        <f t="shared" si="336"/>
        <v>17983.368750000001</v>
      </c>
      <c r="AR322" s="348">
        <f t="shared" si="358"/>
        <v>241.38750000000073</v>
      </c>
      <c r="AS322" s="512">
        <f t="shared" si="359"/>
        <v>10.057812500000031</v>
      </c>
      <c r="AT322" s="334"/>
      <c r="AU322" s="348">
        <f>(AQ322-AQ316)/(AVERAGE(AN316:AN322)*((AVERAGE(D$317,D$315,D$290,D$311,D$296,D$304,D$308,D$322,D$289,D$318)*AVERAGE(E$317,E$315,E$290,E$311,E$296,E$304,E$308,E$322,E$289,E$318))-(V322*W322))*0.0001*(SUM(C316:C322)/24))</f>
        <v>1345.8997683911175</v>
      </c>
      <c r="AV322" s="512"/>
      <c r="AW322" s="848">
        <f t="shared" si="323"/>
        <v>0.17083333333333384</v>
      </c>
      <c r="AX322" s="319">
        <v>67.599999999999994</v>
      </c>
      <c r="AY322" s="319">
        <v>31.5</v>
      </c>
      <c r="AZ322" s="319">
        <v>0</v>
      </c>
      <c r="BA322" s="319">
        <v>40</v>
      </c>
      <c r="BB322" s="319">
        <v>65</v>
      </c>
      <c r="BC322" s="320"/>
      <c r="BD322" s="368"/>
      <c r="BE322" s="368"/>
      <c r="BF322" s="317"/>
      <c r="BG322" s="339">
        <v>2.4500000000000002</v>
      </c>
      <c r="BH322" s="365">
        <v>59.75</v>
      </c>
      <c r="BI322" s="319"/>
      <c r="BJ322" s="319"/>
      <c r="BK322" s="319"/>
      <c r="BL322" s="317"/>
      <c r="BM322" s="317"/>
      <c r="BN322" s="320"/>
      <c r="BO322" s="859">
        <f>D318*(100-E318)/(100-BH322)</f>
        <v>2.4611180124223608</v>
      </c>
      <c r="BP322" s="753">
        <f>D318-BG322</f>
        <v>1.4499999999999997</v>
      </c>
      <c r="BQ322" s="860">
        <f>100*(AVERAGE(D$317,D$315,D$290,D$311,D$296,D$304,D$308,D$322,D$289,D$318)-BG322)/AVERAGE(D$317,D$315,D$290,D$311,D$296,D$304,D$308,D$322,D$289,D$318)</f>
        <v>32.20807969009406</v>
      </c>
      <c r="BR322" s="861">
        <f>100*(1-((100-AVERAGE(E$317,E$315,E$290,E$311,E$296,E$304,E$308,E$322,E$289,E$318))/(100-BH322)))</f>
        <v>40.196273291925465</v>
      </c>
      <c r="BS322" s="858">
        <f>E318-BH322</f>
        <v>14.849999999999994</v>
      </c>
      <c r="BT322" s="862">
        <f>100*(1-((BG322*BH322)/(AVERAGE(D$317,D$315,D$290,D$311,D$296,D$304,D$308,D$322,D$289,D$318)*AVERAGE(E$317,E$315,E$290,E$311,E$296,E$304,E$308,E$322,E$289,E$318))))</f>
        <v>46.653225532841482</v>
      </c>
      <c r="BU322" s="863">
        <f>100*100*((AVERAGE(E$317,E$315,E$290,E$311,E$296,E$304,E$308,E$322,E$289,E$318)-BH322)/((100-BH322)*AVERAGE(E$317,E$315,E$290,E$311,E$296,E$304,E$308,E$322,E$289,E$318)))</f>
        <v>52.939289720561938</v>
      </c>
      <c r="BV322" s="318">
        <v>7.33</v>
      </c>
      <c r="BW322" s="319">
        <v>47.5</v>
      </c>
      <c r="BX322" s="319">
        <v>308</v>
      </c>
      <c r="BY322" s="462">
        <f t="shared" si="370"/>
        <v>28</v>
      </c>
      <c r="BZ322" s="462">
        <f t="shared" si="371"/>
        <v>26.642857142857142</v>
      </c>
      <c r="CA322" s="348">
        <v>211</v>
      </c>
      <c r="CB322" s="348">
        <f t="shared" si="347"/>
        <v>32274.784374999999</v>
      </c>
      <c r="CC322" s="334">
        <f t="shared" si="364"/>
        <v>797.265625</v>
      </c>
      <c r="CD322" s="334">
        <f t="shared" si="365"/>
        <v>33.219401041666664</v>
      </c>
      <c r="CE322" s="984">
        <f>CC322/(AVERAGE(BY321,BY322)*(AVERAGE(D$317,D$315,D$290,D$311,D$296,D$304,D$308,D$322,D$289,D$318))*AVERAGE(E$317,E$315,E$290,E$311,E$296,E$304,E$308,E$322,E$289,E$318)*0.0001)</f>
        <v>968.46951839679343</v>
      </c>
      <c r="CF322" s="441">
        <f>(CB322-CB316)/(AVERAGE(BY316:BY322)*((AVERAGE(D$317,D$315,D$290,D$311,D$296,D$304,D$308,D$322,D$289,D$318)*AVERAGE(E$317,E$315,E$290,E$311,E$296,E$304,E$308,E$322,E$289,E$318))-(BG322*BH322))*0.0001*(SUM(C316:C322)/24))</f>
        <v>1458.9294968350828</v>
      </c>
      <c r="CG322" s="441">
        <f>CC322/(AVERAGE(BY322)*AVERAGE((D$317,D$315,D$290,D$311,D$296,D$304,D$308,D$322,D$289,D$318))*0.01)</f>
        <v>787.87416495375146</v>
      </c>
      <c r="CH322" s="477">
        <f t="shared" si="297"/>
        <v>1.0687206769436997</v>
      </c>
      <c r="CI322" s="319">
        <v>67.099999999999994</v>
      </c>
      <c r="CJ322" s="319">
        <v>32.5</v>
      </c>
      <c r="CK322" s="319">
        <v>0</v>
      </c>
      <c r="CL322" s="319">
        <v>76</v>
      </c>
      <c r="CM322" s="319">
        <v>110</v>
      </c>
      <c r="CN322" s="442"/>
    </row>
    <row r="323" spans="1:92" s="677" customFormat="1" ht="15">
      <c r="A323" s="378">
        <f t="shared" si="292"/>
        <v>41478</v>
      </c>
      <c r="B323" s="663">
        <v>0.33333333333333098</v>
      </c>
      <c r="C323" s="304">
        <f t="shared" si="351"/>
        <v>24</v>
      </c>
      <c r="D323" s="665"/>
      <c r="E323" s="293"/>
      <c r="F323" s="293"/>
      <c r="G323" s="293"/>
      <c r="H323" s="293"/>
      <c r="I323" s="293"/>
      <c r="J323" s="666"/>
      <c r="K323" s="666"/>
      <c r="L323" s="299"/>
      <c r="M323" s="666"/>
      <c r="N323" s="293"/>
      <c r="O323" s="667"/>
      <c r="P323" s="773"/>
      <c r="Q323" s="774"/>
      <c r="R323" s="775"/>
      <c r="S323" s="666"/>
      <c r="T323" s="666"/>
      <c r="U323" s="777"/>
      <c r="V323" s="665"/>
      <c r="W323" s="293"/>
      <c r="X323" s="293"/>
      <c r="Y323" s="293"/>
      <c r="Z323" s="293"/>
      <c r="AA323" s="666"/>
      <c r="AB323" s="666"/>
      <c r="AC323" s="299"/>
      <c r="AD323" s="965"/>
      <c r="AE323" s="965"/>
      <c r="AF323" s="965"/>
      <c r="AG323" s="966"/>
      <c r="AH323" s="966"/>
      <c r="AI323" s="967"/>
      <c r="AJ323" s="968"/>
      <c r="AK323" s="665"/>
      <c r="AL323" s="293">
        <v>35.299999999999997</v>
      </c>
      <c r="AM323" s="293">
        <v>468</v>
      </c>
      <c r="AN323" s="853">
        <f t="shared" si="368"/>
        <v>4.32</v>
      </c>
      <c r="AO323" s="854">
        <f t="shared" si="369"/>
        <v>327.08333333333331</v>
      </c>
      <c r="AP323" s="301">
        <v>305</v>
      </c>
      <c r="AQ323" s="490">
        <f t="shared" si="336"/>
        <v>18224.756250000002</v>
      </c>
      <c r="AR323" s="76">
        <f t="shared" si="358"/>
        <v>241.38750000000073</v>
      </c>
      <c r="AS323" s="230">
        <f t="shared" si="359"/>
        <v>10.057812500000031</v>
      </c>
      <c r="AT323" s="208">
        <f>AR323/(AVERAGE(AN323:AN325)*(AVERAGE(D$317,D$315,D$290,D$311,D$296,D$304,D$308,D$322,D$289,D$318))*AVERAGE(E$317,E$315,E$290,E$311,E$296,E$304,E$308,E$322,E$289,E$318)*0.0001)</f>
        <v>436.34340938756748</v>
      </c>
      <c r="AU323" s="585"/>
      <c r="AV323" s="230">
        <f>AR323/(AVERAGE(AN323:AN325)*AVERAGE(D$317,D$315,D$290,D$311,D$296,D$304,D$308,D$322,D$289,D$318)*0.01)</f>
        <v>331.31118731388619</v>
      </c>
      <c r="AW323" s="855">
        <f t="shared" si="323"/>
        <v>0.17083333333333384</v>
      </c>
      <c r="AX323" s="293"/>
      <c r="AY323" s="293"/>
      <c r="AZ323" s="293"/>
      <c r="BA323" s="293"/>
      <c r="BB323" s="293"/>
      <c r="BC323" s="299"/>
      <c r="BD323" s="671"/>
      <c r="BE323" s="671"/>
      <c r="BF323" s="666"/>
      <c r="BG323" s="665"/>
      <c r="BH323" s="293"/>
      <c r="BI323" s="293"/>
      <c r="BJ323" s="293"/>
      <c r="BK323" s="293"/>
      <c r="BL323" s="666"/>
      <c r="BM323" s="666"/>
      <c r="BN323" s="299"/>
      <c r="BO323" s="298"/>
      <c r="BP323" s="298"/>
      <c r="BQ323" s="298"/>
      <c r="BR323" s="293"/>
      <c r="BS323" s="671"/>
      <c r="BT323" s="293"/>
      <c r="BU323" s="675"/>
      <c r="BV323" s="665"/>
      <c r="BW323" s="293">
        <v>50.5</v>
      </c>
      <c r="BX323" s="293">
        <v>324</v>
      </c>
      <c r="BY323" s="159">
        <f t="shared" si="370"/>
        <v>32</v>
      </c>
      <c r="BZ323" s="159">
        <f t="shared" si="371"/>
        <v>23.3125</v>
      </c>
      <c r="CA323" s="490">
        <v>226</v>
      </c>
      <c r="CB323" s="490">
        <f t="shared" si="347"/>
        <v>33194.706250000003</v>
      </c>
      <c r="CC323" s="208">
        <f t="shared" si="364"/>
        <v>919.92187500000364</v>
      </c>
      <c r="CD323" s="208">
        <f t="shared" si="365"/>
        <v>38.330078125000149</v>
      </c>
      <c r="CE323" s="985">
        <f>CC323/(AVERAGE(BY322,BY323)*(AVERAGE(D$317,D$315,D$290,D$311,D$296,D$304,D$308,D$322,D$289,D$318))*AVERAGE(E$317,E$315,E$290,E$311,E$296,E$304,E$308,E$322,E$289,E$318)*0.0001)</f>
        <v>1117.4648289193815</v>
      </c>
      <c r="CF323" s="346"/>
      <c r="CG323" s="180">
        <f>CC323/(AVERAGE(BY323)*AVERAGE((D$317,D$315,D$290,D$311,D$296,D$304,D$308,D$322,D$289,D$318))*0.01)</f>
        <v>795.44987807830978</v>
      </c>
      <c r="CH323" s="433">
        <f t="shared" si="297"/>
        <v>1.2331392426273506</v>
      </c>
      <c r="CI323" s="293"/>
      <c r="CJ323" s="293"/>
      <c r="CK323" s="293"/>
      <c r="CL323" s="293"/>
      <c r="CM323" s="293"/>
      <c r="CN323" s="676"/>
    </row>
    <row r="324" spans="1:92" s="677" customFormat="1" ht="15">
      <c r="A324" s="378">
        <f t="shared" si="292"/>
        <v>41479</v>
      </c>
      <c r="B324" s="663">
        <v>0.33333333333333098</v>
      </c>
      <c r="C324" s="304">
        <f t="shared" si="351"/>
        <v>24</v>
      </c>
      <c r="D324" s="665"/>
      <c r="E324" s="293"/>
      <c r="F324" s="293"/>
      <c r="G324" s="293"/>
      <c r="H324" s="293"/>
      <c r="I324" s="293"/>
      <c r="J324" s="666"/>
      <c r="K324" s="666"/>
      <c r="L324" s="299"/>
      <c r="M324" s="666"/>
      <c r="N324" s="293"/>
      <c r="O324" s="667"/>
      <c r="P324" s="773"/>
      <c r="Q324" s="774"/>
      <c r="R324" s="775"/>
      <c r="S324" s="666"/>
      <c r="T324" s="666"/>
      <c r="U324" s="777"/>
      <c r="V324" s="665"/>
      <c r="W324" s="293"/>
      <c r="X324" s="293"/>
      <c r="Y324" s="293"/>
      <c r="Z324" s="293"/>
      <c r="AA324" s="666"/>
      <c r="AB324" s="666"/>
      <c r="AC324" s="299"/>
      <c r="AD324" s="298"/>
      <c r="AE324" s="298"/>
      <c r="AF324" s="298"/>
      <c r="AG324" s="293"/>
      <c r="AH324" s="293"/>
      <c r="AI324" s="671"/>
      <c r="AJ324" s="299"/>
      <c r="AK324" s="665"/>
      <c r="AL324" s="293">
        <v>35.200000000000003</v>
      </c>
      <c r="AM324" s="293">
        <v>469</v>
      </c>
      <c r="AN324" s="853">
        <f t="shared" si="368"/>
        <v>2.16</v>
      </c>
      <c r="AO324" s="854">
        <f t="shared" si="369"/>
        <v>654.16666666666663</v>
      </c>
      <c r="AP324" s="301">
        <v>308</v>
      </c>
      <c r="AQ324" s="490">
        <f t="shared" si="336"/>
        <v>18405.796875</v>
      </c>
      <c r="AR324" s="76">
        <f t="shared" si="358"/>
        <v>181.04062499999782</v>
      </c>
      <c r="AS324" s="230">
        <f t="shared" si="359"/>
        <v>7.5433593749999091</v>
      </c>
      <c r="AT324" s="208">
        <f>AR324/(AVERAGE(AN324:AN325)*(AVERAGE(D$317,D$315,D$290,D$311,D$296,D$304,D$308,D$322,D$289,D$318))*AVERAGE(E$317,E$315,E$290,E$311,E$296,E$304,E$308,E$322,E$289,E$318)*0.0001)</f>
        <v>234.95414351637902</v>
      </c>
      <c r="AU324" s="585"/>
      <c r="AV324" s="230">
        <f>AR324/(AVERAGE(AN324:AN325)*AVERAGE(D$317,D$315,D$290,D$311,D$296,D$304,D$308,D$322,D$289,D$318)*0.01)</f>
        <v>178.39833163055144</v>
      </c>
      <c r="AW324" s="855">
        <f t="shared" si="323"/>
        <v>0.12812499999999846</v>
      </c>
      <c r="AX324" s="293"/>
      <c r="AY324" s="293"/>
      <c r="AZ324" s="293"/>
      <c r="BA324" s="293"/>
      <c r="BB324" s="293"/>
      <c r="BC324" s="299"/>
      <c r="BD324" s="671"/>
      <c r="BE324" s="671"/>
      <c r="BF324" s="666"/>
      <c r="BG324" s="665"/>
      <c r="BH324" s="293"/>
      <c r="BI324" s="293"/>
      <c r="BJ324" s="293"/>
      <c r="BK324" s="293"/>
      <c r="BL324" s="666"/>
      <c r="BM324" s="666"/>
      <c r="BN324" s="299"/>
      <c r="BO324" s="298"/>
      <c r="BP324" s="298"/>
      <c r="BQ324" s="298"/>
      <c r="BR324" s="293"/>
      <c r="BS324" s="671"/>
      <c r="BT324" s="293"/>
      <c r="BU324" s="675"/>
      <c r="BV324" s="665"/>
      <c r="BW324" s="293">
        <v>50.5</v>
      </c>
      <c r="BX324" s="293">
        <v>342</v>
      </c>
      <c r="BY324" s="159">
        <f t="shared" si="370"/>
        <v>36</v>
      </c>
      <c r="BZ324" s="159">
        <f t="shared" si="371"/>
        <v>20.722222222222221</v>
      </c>
      <c r="CA324" s="490">
        <v>242</v>
      </c>
      <c r="CB324" s="490">
        <f t="shared" si="347"/>
        <v>34175.956250000003</v>
      </c>
      <c r="CC324" s="208">
        <f t="shared" si="364"/>
        <v>981.25</v>
      </c>
      <c r="CD324" s="208">
        <f t="shared" si="365"/>
        <v>40.885416666666664</v>
      </c>
      <c r="CE324" s="985">
        <f>CC324/(AVERAGE(BY323,BY324)*(AVERAGE(D$317,D$315,D$290,D$311,D$296,D$304,D$308,D$322,D$289,D$318))*AVERAGE(E$317,E$315,E$290,E$311,E$296,E$304,E$308,E$322,E$289,E$318)*0.0001)</f>
        <v>1051.7316036888255</v>
      </c>
      <c r="CF324" s="346"/>
      <c r="CG324" s="180">
        <f>CC324/(AVERAGE(BY324)*AVERAGE((D$317,D$315,D$290,D$311,D$296,D$304,D$308,D$322,D$289,D$318))*0.01)</f>
        <v>754.20432884461661</v>
      </c>
      <c r="CH324" s="433">
        <f t="shared" si="297"/>
        <v>1.3153485254691688</v>
      </c>
      <c r="CI324" s="293"/>
      <c r="CJ324" s="293"/>
      <c r="CK324" s="293"/>
      <c r="CL324" s="293"/>
      <c r="CM324" s="293"/>
      <c r="CN324" s="676"/>
    </row>
    <row r="325" spans="1:92" s="337" customFormat="1" ht="71.25">
      <c r="A325" s="309">
        <f t="shared" si="292"/>
        <v>41480</v>
      </c>
      <c r="B325" s="310">
        <v>0.33333333333333098</v>
      </c>
      <c r="C325" s="311">
        <f t="shared" si="351"/>
        <v>24</v>
      </c>
      <c r="D325" s="318">
        <v>4.0999999999999996</v>
      </c>
      <c r="E325" s="319">
        <v>76.2</v>
      </c>
      <c r="F325" s="313">
        <v>57100</v>
      </c>
      <c r="G325" s="319"/>
      <c r="H325" s="319"/>
      <c r="I325" s="313">
        <v>8599</v>
      </c>
      <c r="J325" s="317"/>
      <c r="K325" s="317"/>
      <c r="L325" s="320"/>
      <c r="M325" s="317">
        <v>45</v>
      </c>
      <c r="N325" s="319">
        <v>85</v>
      </c>
      <c r="O325" s="472"/>
      <c r="P325" s="763">
        <v>1400</v>
      </c>
      <c r="Q325" s="764">
        <f t="shared" ref="Q325" si="372">P325/((N325-M325)*N$4)</f>
        <v>6.9665605095541396</v>
      </c>
      <c r="R325" s="765">
        <f t="shared" ref="R325" si="373">10*Q325/(AVERAGE(D$261,D$262))</f>
        <v>23.144719300844319</v>
      </c>
      <c r="S325" s="317"/>
      <c r="T325" s="317"/>
      <c r="U325" s="757"/>
      <c r="V325" s="318">
        <v>2.4</v>
      </c>
      <c r="W325" s="319">
        <v>63.1</v>
      </c>
      <c r="X325" s="319">
        <v>24700</v>
      </c>
      <c r="Y325" s="319"/>
      <c r="Z325" s="319">
        <v>1179</v>
      </c>
      <c r="AA325" s="317"/>
      <c r="AB325" s="317"/>
      <c r="AC325" s="320"/>
      <c r="AD325" s="752">
        <f>D322*(100-E322)/(100-W325)</f>
        <v>2.3716910569105685</v>
      </c>
      <c r="AE325" s="753">
        <f>D322-V325</f>
        <v>1.6199999999999997</v>
      </c>
      <c r="AF325" s="864">
        <f>100*(AVERAGE(D$317,D$315,D$290,D$311,D$296,D$304,D$308,D$322,D$325,D$318)-V325)/AVERAGE(D$317,D$315,D$290,D$311,D$296,D$304,D$308,D$322,D$325,D$318)</f>
        <v>34.676102340772992</v>
      </c>
      <c r="AG325" s="864">
        <f>100*(1-((100-AVERAGE(E$317,E$315,E$290,E$311,E$296,E$304,E$308,E$322,E$325,E$318))/(100-W325)))</f>
        <v>34.712737127371284</v>
      </c>
      <c r="AH325" s="753">
        <f>E322-W325</f>
        <v>15.130000000000003</v>
      </c>
      <c r="AI325" s="847">
        <f>100*(1-((V325*W325)/(AVERAGE(D$317,D$315,D$290,D$311,D$296,D$304,D$308,D$322,D$325,D$318)*AVERAGE(E$317,E$315,E$290,E$311,E$296,E$304,E$308,E$322,E$325,E$318))))</f>
        <v>45.698956088247456</v>
      </c>
      <c r="AJ325" s="847">
        <f>100*100*((AVERAGE(E$317,E$315,E$290,E$311,E$296,E$304,E$308,E$322,E$325,E$318)-W325)/((100-W325)*AVERAGE(E$317,E$315,E$290,E$311,E$296,E$304,E$308,E$322,E$325,E$318)))</f>
        <v>45.729409065290398</v>
      </c>
      <c r="AK325" s="318"/>
      <c r="AL325" s="319">
        <v>35.299999999999997</v>
      </c>
      <c r="AM325" s="319">
        <v>494</v>
      </c>
      <c r="AN325" s="846">
        <f t="shared" si="368"/>
        <v>54</v>
      </c>
      <c r="AO325" s="847">
        <f t="shared" si="369"/>
        <v>26.166666666666668</v>
      </c>
      <c r="AP325" s="313">
        <v>320</v>
      </c>
      <c r="AQ325" s="490">
        <f t="shared" si="336"/>
        <v>19129.959375000002</v>
      </c>
      <c r="AR325" s="348">
        <f t="shared" si="358"/>
        <v>724.16250000000218</v>
      </c>
      <c r="AS325" s="512">
        <f t="shared" si="359"/>
        <v>30.173437500000091</v>
      </c>
      <c r="AT325" s="334">
        <f>AR325/(AVERAGE(AN325)*(AVERAGE(D$317,D$315,D$290,D$311,D$296,D$304,D$308,D$322,D$325,D$318))*AVERAGE(E$317,E$315,E$290,E$311,E$296,E$304,E$308,E$322,E$325,E$318)*0.0001)</f>
        <v>480.85025375829838</v>
      </c>
      <c r="AU325" s="348">
        <f>(AQ325-AQ319)/(AVERAGE(AN319:AN325)*((AVERAGE(D$317,D$315,D$290,D$311,D$296,D$304,D$308,D$322,D$325,D$318)*AVERAGE(E$317,E$315,E$290,E$311,E$296,E$304,E$308,E$322,E$325,E$318))-(V325*W325))*0.0001*(SUM(C319:C325)/24))</f>
        <v>1576.780838929802</v>
      </c>
      <c r="AV325" s="512">
        <f>AR325/(AVERAGE(AN325)*AVERAGE(D$317,D$315,D$290,D$311,D$296,D$304,D$308,D$322,D$325,D$318)*0.01)</f>
        <v>365.00861912538676</v>
      </c>
      <c r="AW325" s="848">
        <f t="shared" si="323"/>
        <v>0.51250000000000151</v>
      </c>
      <c r="AX325" s="319"/>
      <c r="AY325" s="319"/>
      <c r="AZ325" s="319"/>
      <c r="BA325" s="319"/>
      <c r="BB325" s="319"/>
      <c r="BC325" s="445" t="s">
        <v>162</v>
      </c>
      <c r="BD325" s="368"/>
      <c r="BE325" s="368"/>
      <c r="BF325" s="317"/>
      <c r="BG325" s="318">
        <v>2.7</v>
      </c>
      <c r="BH325" s="319">
        <v>60.4</v>
      </c>
      <c r="BI325" s="319">
        <v>26700</v>
      </c>
      <c r="BJ325" s="319"/>
      <c r="BK325" s="319">
        <v>1820</v>
      </c>
      <c r="BL325" s="317"/>
      <c r="BM325" s="317"/>
      <c r="BN325" s="320"/>
      <c r="BO325" s="859">
        <f>D322*(100-E322)/(100-BH325)</f>
        <v>2.2099848484848477</v>
      </c>
      <c r="BP325" s="753">
        <f>D322-BG325</f>
        <v>1.3199999999999994</v>
      </c>
      <c r="BQ325" s="860">
        <f>100*(AVERAGE(D$317,D$315,D$290,D$311,D$296,D$304,D$308,D$322,D$325,D$318)-BG325)/AVERAGE(D$317,D$315,D$290,D$311,D$296,D$304,D$308,D$322,D$325,D$318)</f>
        <v>26.510615133369612</v>
      </c>
      <c r="BR325" s="861">
        <f>100*(1-((100-AVERAGE(E$317,E$315,E$290,E$311,E$296,E$304,E$308,E$322,E$325,E$318))/(100-BH325)))</f>
        <v>39.164141414141426</v>
      </c>
      <c r="BS325" s="858">
        <f>E322-BH325</f>
        <v>17.830000000000005</v>
      </c>
      <c r="BT325" s="862">
        <f>100*(1-((BG325*BH325)/(AVERAGE(D$317,D$315,D$290,D$311,D$296,D$304,D$308,D$322,D$325,D$318)*AVERAGE(E$317,E$315,E$290,E$311,E$296,E$304,E$308,E$322,E$325,E$318))))</f>
        <v>41.525262538770434</v>
      </c>
      <c r="BU325" s="863">
        <f>100*100*((AVERAGE(E$317,E$315,E$290,E$311,E$296,E$304,E$308,E$322,E$325,E$318)-BH325)/((100-BH325)*AVERAGE(E$317,E$315,E$290,E$311,E$296,E$304,E$308,E$322,E$325,E$318)))</f>
        <v>51.593541495924633</v>
      </c>
      <c r="BV325" s="318"/>
      <c r="BW325" s="319">
        <v>50.6</v>
      </c>
      <c r="BX325" s="319">
        <v>359</v>
      </c>
      <c r="BY325" s="462">
        <f t="shared" si="370"/>
        <v>34</v>
      </c>
      <c r="BZ325" s="462">
        <f t="shared" si="371"/>
        <v>21.941176470588236</v>
      </c>
      <c r="CA325" s="348">
        <v>256</v>
      </c>
      <c r="CB325" s="348">
        <f t="shared" si="347"/>
        <v>35034.550000000003</v>
      </c>
      <c r="CC325" s="334">
        <f t="shared" si="364"/>
        <v>858.59375</v>
      </c>
      <c r="CD325" s="334">
        <f t="shared" si="365"/>
        <v>35.774739583333336</v>
      </c>
      <c r="CE325" s="984">
        <f>CC325/(AVERAGE(BY324,BY325)*(AVERAGE(D$317,D$315,D$290,D$311,D$296,D$304,D$308,D$322,D$325,D$318))*AVERAGE(E$317,E$315,E$290,E$311,E$296,E$304,E$308,E$322,E$325,E$318)*0.0001)</f>
        <v>879.60412272859196</v>
      </c>
      <c r="CF325" s="441">
        <f>(CB325-CB319)/(AVERAGE(BY319:BY325)*((AVERAGE(D$317,D$315,D$290,D$311,D$296,D$304,D$308,D$322,D$325,D$318)*AVERAGE(E$317,E$315,E$290,E$311,E$296,E$304,E$308,E$322,E$325,E$318))-(BG325*BH325))*0.0001*(SUM(C319:C325)/24))</f>
        <v>1897.979239609926</v>
      </c>
      <c r="CG325" s="441">
        <f>CC325/(AVERAGE(BY325)*AVERAGE((D$317,D$315,D$290,D$311,D$296,D$304,D$308,D$322,D$325,D$318))*0.01)</f>
        <v>687.33689039034243</v>
      </c>
      <c r="CH325" s="477">
        <f t="shared" si="297"/>
        <v>1.1509299597855227</v>
      </c>
      <c r="CI325" s="319"/>
      <c r="CJ325" s="319"/>
      <c r="CK325" s="319"/>
      <c r="CL325" s="319"/>
      <c r="CM325" s="319"/>
      <c r="CN325" s="445" t="s">
        <v>161</v>
      </c>
    </row>
    <row r="326" spans="1:92" s="677" customFormat="1" ht="15">
      <c r="A326" s="378">
        <f t="shared" si="292"/>
        <v>41481</v>
      </c>
      <c r="B326" s="663">
        <v>0.33333333333333098</v>
      </c>
      <c r="C326" s="304">
        <f t="shared" si="351"/>
        <v>24</v>
      </c>
      <c r="D326" s="665"/>
      <c r="E326" s="293"/>
      <c r="F326" s="301"/>
      <c r="G326" s="293"/>
      <c r="H326" s="293"/>
      <c r="I326" s="301"/>
      <c r="J326" s="772"/>
      <c r="K326" s="772"/>
      <c r="L326" s="299"/>
      <c r="M326" s="666"/>
      <c r="N326" s="293"/>
      <c r="O326" s="667"/>
      <c r="P326" s="773"/>
      <c r="Q326" s="774"/>
      <c r="R326" s="775"/>
      <c r="S326" s="666"/>
      <c r="T326" s="666"/>
      <c r="U326" s="777"/>
      <c r="V326" s="665"/>
      <c r="W326" s="293"/>
      <c r="X326" s="490"/>
      <c r="Y326" s="293"/>
      <c r="Z326" s="301"/>
      <c r="AA326" s="772"/>
      <c r="AB326" s="772"/>
      <c r="AC326" s="299"/>
      <c r="AD326" s="778"/>
      <c r="AE326" s="779"/>
      <c r="AF326" s="780"/>
      <c r="AG326" s="776"/>
      <c r="AH326" s="781"/>
      <c r="AI326" s="779"/>
      <c r="AJ326" s="282"/>
      <c r="AK326" s="665"/>
      <c r="AL326" s="293">
        <v>35.200000000000003</v>
      </c>
      <c r="AM326" s="293">
        <v>534</v>
      </c>
      <c r="AN326" s="853">
        <f t="shared" ref="AN326:AN327" si="374">(AM326-AM325)*AQ$1/((C325)/24)</f>
        <v>86.4</v>
      </c>
      <c r="AO326" s="854">
        <f t="shared" ref="AO326:AO327" si="375">AQ$3/AN326</f>
        <v>16.354166666666664</v>
      </c>
      <c r="AP326" s="301">
        <v>333</v>
      </c>
      <c r="AQ326" s="490">
        <f t="shared" si="336"/>
        <v>19914.46875</v>
      </c>
      <c r="AR326" s="76">
        <f t="shared" si="358"/>
        <v>784.50937499999782</v>
      </c>
      <c r="AS326" s="230">
        <f t="shared" si="359"/>
        <v>32.687890624999909</v>
      </c>
      <c r="AT326" s="208">
        <f t="shared" ref="AT326:AT328" si="376">AR326/(AVERAGE(AN326)*(AVERAGE(D$317,D$315,D$290,D$311,D$296,D$304,D$308,D$322,D$325,D$318))*AVERAGE(E$317,E$315,E$290,E$311,E$296,E$304,E$308,E$322,E$325,E$318)*0.0001)</f>
        <v>325.57569264884592</v>
      </c>
      <c r="AU326" s="585"/>
      <c r="AV326" s="230">
        <f t="shared" ref="AV326:AV328" si="377">AR326/(AVERAGE(AN326)*AVERAGE(D$317,D$315,D$290,D$311,D$296,D$304,D$308,D$322,D$325,D$318)*0.01)</f>
        <v>247.1412525328125</v>
      </c>
      <c r="AW326" s="855">
        <f t="shared" si="323"/>
        <v>0.55520833333333175</v>
      </c>
      <c r="AX326" s="293"/>
      <c r="AY326" s="293"/>
      <c r="AZ326" s="293"/>
      <c r="BA326" s="293"/>
      <c r="BB326" s="293"/>
      <c r="BC326" s="299"/>
      <c r="BD326" s="671"/>
      <c r="BE326" s="671"/>
      <c r="BF326" s="666"/>
      <c r="BG326" s="665"/>
      <c r="BH326" s="293"/>
      <c r="BI326" s="490"/>
      <c r="BJ326" s="293"/>
      <c r="BK326" s="490"/>
      <c r="BL326" s="772"/>
      <c r="BM326" s="772"/>
      <c r="BN326" s="299"/>
      <c r="BO326" s="778"/>
      <c r="BP326" s="779"/>
      <c r="BQ326" s="780"/>
      <c r="BR326" s="776"/>
      <c r="BS326" s="782"/>
      <c r="BT326" s="781"/>
      <c r="BU326" s="783"/>
      <c r="BV326" s="665"/>
      <c r="BW326" s="293">
        <v>50.6</v>
      </c>
      <c r="BX326" s="293">
        <v>375</v>
      </c>
      <c r="BY326" s="159">
        <f t="shared" si="370"/>
        <v>32</v>
      </c>
      <c r="BZ326" s="159">
        <f t="shared" si="371"/>
        <v>23.3125</v>
      </c>
      <c r="CA326" s="490">
        <v>268</v>
      </c>
      <c r="CB326" s="490">
        <f t="shared" si="347"/>
        <v>35770.487500000003</v>
      </c>
      <c r="CC326" s="208">
        <f t="shared" si="364"/>
        <v>735.9375</v>
      </c>
      <c r="CD326" s="208">
        <f t="shared" si="365"/>
        <v>30.6640625</v>
      </c>
      <c r="CE326" s="985">
        <f>CC326/(AVERAGE(BY325,BY326)*(AVERAGE(D$317,D$315,D$290,D$311,D$296,D$304,D$308,D$322,D$325,D$318))*AVERAGE(E$317,E$315,E$290,E$311,E$296,E$304,E$308,E$322,E$325,E$318)*0.0001)</f>
        <v>799.64011157144716</v>
      </c>
      <c r="CF326" s="346"/>
      <c r="CG326" s="180">
        <f>CC326/(AVERAGE(BY326)*AVERAGE((D$317,D$315,D$290,D$311,D$296,D$304,D$308,D$322,D$325,D$318))*0.01)</f>
        <v>625.96752517691903</v>
      </c>
      <c r="CH326" s="433">
        <f t="shared" si="297"/>
        <v>0.98651139410187672</v>
      </c>
      <c r="CI326" s="293"/>
      <c r="CJ326" s="293"/>
      <c r="CK326" s="293"/>
      <c r="CL326" s="293"/>
      <c r="CM326" s="293"/>
      <c r="CN326" s="676"/>
    </row>
    <row r="327" spans="1:92" s="677" customFormat="1" ht="15">
      <c r="A327" s="378">
        <f t="shared" si="292"/>
        <v>41482</v>
      </c>
      <c r="B327" s="663">
        <v>0.33333333333333098</v>
      </c>
      <c r="C327" s="304">
        <f t="shared" si="351"/>
        <v>24</v>
      </c>
      <c r="D327" s="665"/>
      <c r="E327" s="293"/>
      <c r="F327" s="293"/>
      <c r="G327" s="293"/>
      <c r="H327" s="293"/>
      <c r="I327" s="293"/>
      <c r="J327" s="666"/>
      <c r="K327" s="666"/>
      <c r="L327" s="299"/>
      <c r="M327" s="666">
        <v>50</v>
      </c>
      <c r="N327" s="293">
        <v>80</v>
      </c>
      <c r="O327" s="667"/>
      <c r="P327" s="665">
        <v>1050</v>
      </c>
      <c r="Q327" s="210">
        <f t="shared" ref="Q327" si="378">P327/((N327-M327)*N$4)</f>
        <v>6.9665605095541405</v>
      </c>
      <c r="R327" s="225">
        <f t="shared" ref="R327" si="379">10*Q327/(AVERAGE(D$261,D$262))</f>
        <v>23.144719300844322</v>
      </c>
      <c r="S327" s="666"/>
      <c r="T327" s="666"/>
      <c r="U327" s="777"/>
      <c r="V327" s="665"/>
      <c r="W327" s="293"/>
      <c r="X327" s="293"/>
      <c r="Y327" s="293"/>
      <c r="Z327" s="293"/>
      <c r="AA327" s="666"/>
      <c r="AB327" s="666"/>
      <c r="AC327" s="299"/>
      <c r="AD327" s="298"/>
      <c r="AE327" s="298"/>
      <c r="AF327" s="298"/>
      <c r="AG327" s="293"/>
      <c r="AH327" s="293"/>
      <c r="AI327" s="671"/>
      <c r="AJ327" s="299"/>
      <c r="AK327" s="665"/>
      <c r="AL327" s="293">
        <v>35.200000000000003</v>
      </c>
      <c r="AM327" s="293">
        <v>562</v>
      </c>
      <c r="AN327" s="853">
        <f t="shared" si="374"/>
        <v>60.480000000000004</v>
      </c>
      <c r="AO327" s="854">
        <f t="shared" si="375"/>
        <v>23.363095238095237</v>
      </c>
      <c r="AP327" s="301">
        <v>350</v>
      </c>
      <c r="AQ327" s="490">
        <f t="shared" si="336"/>
        <v>20940.365625000002</v>
      </c>
      <c r="AR327" s="76">
        <f t="shared" si="358"/>
        <v>1025.8968750000022</v>
      </c>
      <c r="AS327" s="230">
        <f t="shared" si="359"/>
        <v>42.745703125000091</v>
      </c>
      <c r="AT327" s="208">
        <f t="shared" si="376"/>
        <v>608.2183269264184</v>
      </c>
      <c r="AU327" s="585"/>
      <c r="AV327" s="230">
        <f t="shared" si="377"/>
        <v>461.69244978657503</v>
      </c>
      <c r="AW327" s="855">
        <f t="shared" si="323"/>
        <v>0.72604166666666825</v>
      </c>
      <c r="AX327" s="293"/>
      <c r="AY327" s="293"/>
      <c r="AZ327" s="293"/>
      <c r="BA327" s="293"/>
      <c r="BB327" s="293"/>
      <c r="BC327" s="299"/>
      <c r="BD327" s="671"/>
      <c r="BE327" s="671"/>
      <c r="BF327" s="817"/>
      <c r="BG327" s="665"/>
      <c r="BH327" s="293"/>
      <c r="BI327" s="293"/>
      <c r="BJ327" s="293"/>
      <c r="BK327" s="293"/>
      <c r="BL327" s="666"/>
      <c r="BM327" s="666"/>
      <c r="BN327" s="299"/>
      <c r="BO327" s="298"/>
      <c r="BP327" s="298"/>
      <c r="BQ327" s="298"/>
      <c r="BR327" s="293"/>
      <c r="BS327" s="671"/>
      <c r="BT327" s="293"/>
      <c r="BU327" s="675"/>
      <c r="BV327" s="665"/>
      <c r="BW327" s="293">
        <v>50.4</v>
      </c>
      <c r="BX327" s="293">
        <v>391</v>
      </c>
      <c r="BY327" s="159">
        <f t="shared" si="370"/>
        <v>32</v>
      </c>
      <c r="BZ327" s="159">
        <f t="shared" si="371"/>
        <v>23.3125</v>
      </c>
      <c r="CA327" s="490">
        <v>281</v>
      </c>
      <c r="CB327" s="490">
        <f t="shared" si="347"/>
        <v>36567.753125000003</v>
      </c>
      <c r="CC327" s="208">
        <f t="shared" si="364"/>
        <v>797.265625</v>
      </c>
      <c r="CD327" s="208">
        <f t="shared" si="365"/>
        <v>33.219401041666664</v>
      </c>
      <c r="CE327" s="985">
        <f>CC327/(AVERAGE(BY326,BY327)*(AVERAGE(D$317,D$315,D$290,D$311,D$296,D$304,D$308,D$322,D$325,D$318))*AVERAGE(E$317,E$315,E$290,E$311,E$296,E$304,E$308,E$322,E$325,E$318)*0.0001)</f>
        <v>893.34793714622617</v>
      </c>
      <c r="CF327" s="346"/>
      <c r="CG327" s="180">
        <f>CC327/(AVERAGE(BY327)*AVERAGE((D$317,D$315,D$290,D$311,D$296,D$304,D$308,D$322,D$325,D$318))*0.01)</f>
        <v>678.13148560832894</v>
      </c>
      <c r="CH327" s="433">
        <f t="shared" si="297"/>
        <v>1.0687206769436997</v>
      </c>
      <c r="CI327" s="293"/>
      <c r="CJ327" s="293"/>
      <c r="CK327" s="293"/>
      <c r="CL327" s="293"/>
      <c r="CM327" s="293"/>
      <c r="CN327" s="676"/>
    </row>
    <row r="328" spans="1:92" s="677" customFormat="1" ht="15">
      <c r="A328" s="378">
        <f t="shared" si="292"/>
        <v>41483</v>
      </c>
      <c r="B328" s="663">
        <v>0.33333333333333098</v>
      </c>
      <c r="C328" s="304">
        <f t="shared" si="351"/>
        <v>24</v>
      </c>
      <c r="D328" s="665"/>
      <c r="E328" s="293"/>
      <c r="F328" s="293"/>
      <c r="G328" s="293"/>
      <c r="H328" s="293"/>
      <c r="I328" s="293"/>
      <c r="J328" s="666"/>
      <c r="K328" s="666"/>
      <c r="L328" s="299"/>
      <c r="M328" s="666"/>
      <c r="N328" s="293"/>
      <c r="O328" s="667"/>
      <c r="P328" s="773"/>
      <c r="Q328" s="774"/>
      <c r="R328" s="775"/>
      <c r="S328" s="666"/>
      <c r="T328" s="666"/>
      <c r="U328" s="777"/>
      <c r="V328" s="665"/>
      <c r="W328" s="293"/>
      <c r="X328" s="293"/>
      <c r="Y328" s="293"/>
      <c r="Z328" s="293"/>
      <c r="AA328" s="666"/>
      <c r="AB328" s="666"/>
      <c r="AC328" s="299"/>
      <c r="AD328" s="298"/>
      <c r="AE328" s="298"/>
      <c r="AF328" s="298"/>
      <c r="AG328" s="293"/>
      <c r="AH328" s="293"/>
      <c r="AI328" s="671"/>
      <c r="AJ328" s="299"/>
      <c r="AK328" s="665"/>
      <c r="AL328" s="293">
        <v>35.5</v>
      </c>
      <c r="AM328" s="293">
        <v>589</v>
      </c>
      <c r="AN328" s="853">
        <f t="shared" ref="AN328:AN335" si="380">(AM328-AM327)*AQ$1/((C327)/24)</f>
        <v>58.320000000000007</v>
      </c>
      <c r="AO328" s="854">
        <f t="shared" ref="AO328:AO335" si="381">AQ$3/AN328</f>
        <v>24.228395061728392</v>
      </c>
      <c r="AP328" s="301">
        <v>367</v>
      </c>
      <c r="AQ328" s="490">
        <f t="shared" si="336"/>
        <v>21966.262500000001</v>
      </c>
      <c r="AR328" s="76">
        <f t="shared" ref="AR328:AR335" si="382">(AQ328-AQ327)/(C328/24)</f>
        <v>1025.8968749999985</v>
      </c>
      <c r="AS328" s="230">
        <f t="shared" ref="AS328:AS335" si="383">(AQ328-AQ327)/C328</f>
        <v>42.745703124999942</v>
      </c>
      <c r="AT328" s="208">
        <f t="shared" si="376"/>
        <v>630.74493162739475</v>
      </c>
      <c r="AU328" s="585"/>
      <c r="AV328" s="230">
        <f t="shared" si="377"/>
        <v>478.79217014903912</v>
      </c>
      <c r="AW328" s="855">
        <f t="shared" si="323"/>
        <v>0.72604166666666559</v>
      </c>
      <c r="AX328" s="293"/>
      <c r="AY328" s="293"/>
      <c r="AZ328" s="293"/>
      <c r="BA328" s="293"/>
      <c r="BB328" s="293"/>
      <c r="BC328" s="299"/>
      <c r="BD328" s="671"/>
      <c r="BE328" s="671"/>
      <c r="BF328" s="817"/>
      <c r="BG328" s="665"/>
      <c r="BH328" s="293"/>
      <c r="BI328" s="293"/>
      <c r="BJ328" s="293"/>
      <c r="BK328" s="293"/>
      <c r="BL328" s="666"/>
      <c r="BM328" s="666"/>
      <c r="BN328" s="299"/>
      <c r="BO328" s="298"/>
      <c r="BP328" s="298"/>
      <c r="BQ328" s="298"/>
      <c r="BR328" s="293"/>
      <c r="BS328" s="671"/>
      <c r="BT328" s="293"/>
      <c r="BU328" s="675"/>
      <c r="BV328" s="665"/>
      <c r="BW328" s="293">
        <v>50.6</v>
      </c>
      <c r="BX328" s="293">
        <v>409</v>
      </c>
      <c r="BY328" s="159">
        <f t="shared" ref="BY328:BY335" si="384">(BX328-BX327)*CB$1/((C328)/24)</f>
        <v>36</v>
      </c>
      <c r="BZ328" s="159">
        <f t="shared" ref="BZ328:BZ335" si="385">CB$3/BY328</f>
        <v>20.722222222222221</v>
      </c>
      <c r="CA328" s="490">
        <v>293</v>
      </c>
      <c r="CB328" s="490">
        <f t="shared" si="347"/>
        <v>37303.690625000003</v>
      </c>
      <c r="CC328" s="208">
        <f t="shared" ref="CC328:CC335" si="386">(CB328-CB327)/((C328/24))</f>
        <v>735.9375</v>
      </c>
      <c r="CD328" s="208">
        <f t="shared" ref="CD328:CD335" si="387">(CB328-CB327)/(C328)</f>
        <v>30.6640625</v>
      </c>
      <c r="CE328" s="985">
        <f>CC328/(AVERAGE(BY327,BY328)*(AVERAGE(D$317,D$315,D$290,D$311,D$296,D$304,D$308,D$322,D$325,D$318))*AVERAGE(E$317,E$315,E$290,E$311,E$296,E$304,E$308,E$322,E$325,E$318)*0.0001)</f>
        <v>776.12128476052226</v>
      </c>
      <c r="CF328" s="346"/>
      <c r="CG328" s="180">
        <f>CC328/(AVERAGE(BY328)*AVERAGE((D$317,D$315,D$290,D$311,D$296,D$304,D$308,D$322,D$325,D$318))*0.01)</f>
        <v>556.4155779350391</v>
      </c>
      <c r="CH328" s="433">
        <f t="shared" si="297"/>
        <v>0.98651139410187672</v>
      </c>
      <c r="CI328" s="293"/>
      <c r="CJ328" s="293"/>
      <c r="CK328" s="293"/>
      <c r="CL328" s="293"/>
      <c r="CM328" s="293"/>
      <c r="CN328" s="676"/>
    </row>
    <row r="329" spans="1:92" s="337" customFormat="1" ht="15">
      <c r="A329" s="309">
        <f t="shared" si="292"/>
        <v>41484</v>
      </c>
      <c r="B329" s="310">
        <v>0.33333333333333098</v>
      </c>
      <c r="C329" s="311">
        <f t="shared" si="351"/>
        <v>24</v>
      </c>
      <c r="D329" s="339">
        <v>3.5</v>
      </c>
      <c r="E329" s="365">
        <v>77.599999999999994</v>
      </c>
      <c r="F329" s="319"/>
      <c r="G329" s="319"/>
      <c r="H329" s="319"/>
      <c r="I329" s="319"/>
      <c r="J329" s="317"/>
      <c r="K329" s="317"/>
      <c r="L329" s="320"/>
      <c r="M329" s="317">
        <v>60</v>
      </c>
      <c r="N329" s="953">
        <v>80</v>
      </c>
      <c r="O329" s="472"/>
      <c r="P329" s="318">
        <v>700</v>
      </c>
      <c r="Q329" s="764">
        <f t="shared" ref="Q329" si="388">P329/((N329-M329)*N$4)</f>
        <v>6.9665605095541396</v>
      </c>
      <c r="R329" s="765">
        <f t="shared" ref="R329" si="389">10*Q329/(AVERAGE(D$261,D$262))</f>
        <v>23.144719300844319</v>
      </c>
      <c r="S329" s="317"/>
      <c r="T329" s="317"/>
      <c r="U329" s="757"/>
      <c r="V329" s="339">
        <v>2.1</v>
      </c>
      <c r="W329" s="365">
        <v>65.2</v>
      </c>
      <c r="X329" s="319"/>
      <c r="Y329" s="319"/>
      <c r="Z329" s="319"/>
      <c r="AA329" s="317"/>
      <c r="AB329" s="317"/>
      <c r="AC329" s="320"/>
      <c r="AD329" s="752">
        <f>D325*(100-E325)/(100-W329)</f>
        <v>2.8040229885057468</v>
      </c>
      <c r="AE329" s="753">
        <f>D325-V329</f>
        <v>1.9999999999999996</v>
      </c>
      <c r="AF329" s="864">
        <f>100*(AVERAGE(D$317,D$315,D$329,D$311,D$296,D$304,D$308,D$322,D$325,D$318)-V329)/AVERAGE(D$317,D$315,D$329,D$311,D$296,D$304,D$308,D$322,D$325,D$318)</f>
        <v>42.052980132450323</v>
      </c>
      <c r="AG329" s="864">
        <f>100*(1-((100-AVERAGE(E$317,E$315,E$329,E$311,E$296,E$304,E$308,E$322,E$325,E$318))/(100-W329)))</f>
        <v>30.456896551724157</v>
      </c>
      <c r="AH329" s="753">
        <f>E325-W329</f>
        <v>11</v>
      </c>
      <c r="AI329" s="847">
        <f>100*(1-((V329*W329)/(AVERAGE(D$317,D$315,D$329,D$311,D$296,D$304,D$308,D$322,D$325,D$318)*AVERAGE(E$317,E$315,E$329,E$311,E$296,E$304,E$308,E$322,E$325,E$318))))</f>
        <v>50.155731667116463</v>
      </c>
      <c r="AJ329" s="847">
        <f>100*100*((AVERAGE(E$317,E$315,E$329,E$311,E$296,E$304,E$308,E$322,E$325,E$318)-W329)/((100-W329)*AVERAGE(E$317,E$315,E$329,E$311,E$296,E$304,E$308,E$322,E$325,E$318)))</f>
        <v>40.181132405076774</v>
      </c>
      <c r="AK329" s="318"/>
      <c r="AL329" s="319">
        <v>35.4</v>
      </c>
      <c r="AM329" s="319">
        <v>618</v>
      </c>
      <c r="AN329" s="846">
        <f t="shared" si="380"/>
        <v>62.64</v>
      </c>
      <c r="AO329" s="847">
        <f t="shared" si="381"/>
        <v>22.557471264367816</v>
      </c>
      <c r="AP329" s="313">
        <v>387</v>
      </c>
      <c r="AQ329" s="490">
        <f t="shared" si="336"/>
        <v>23173.200000000001</v>
      </c>
      <c r="AR329" s="348">
        <f t="shared" si="382"/>
        <v>1206.9375</v>
      </c>
      <c r="AS329" s="512">
        <f t="shared" si="383"/>
        <v>50.2890625</v>
      </c>
      <c r="AT329" s="334">
        <f>AR329/(AVERAGE(AN329)*(AVERAGE(D$317,D$315,D$329,D$311,D$296,D$304,D$308,D$322,D$325,D$318))*AVERAGE(E$317,E$315,E$329,E$311,E$296,E$304,E$308,E$322,E$325,E$318)*0.0001)</f>
        <v>701.42520381595716</v>
      </c>
      <c r="AU329" s="348">
        <f>(AQ329-AQ323)/(AVERAGE(AN323:AN329)*((AVERAGE(D$317,D$315,D$329,D$311,D$296,D$304,D$308,D$322,D$325,D$318)*AVERAGE(E$317,E$315,E$329,E$311,E$296,E$304,E$308,E$322,E$325,E$318))-(V329*W329))*0.0001*(SUM(C323:C329)/24))</f>
        <v>1093.9540071863121</v>
      </c>
      <c r="AV329" s="512">
        <f>AR329/(AVERAGE(AN329)*AVERAGE(D$317,D$315,D$329,D$311,D$296,D$304,D$308,D$322,D$325,D$318)*0.01)</f>
        <v>531.67329024045739</v>
      </c>
      <c r="AW329" s="848">
        <f t="shared" si="323"/>
        <v>0.85416666666666663</v>
      </c>
      <c r="AX329" s="319">
        <v>66.8</v>
      </c>
      <c r="AY329" s="319">
        <v>29.8</v>
      </c>
      <c r="AZ329" s="319">
        <v>0</v>
      </c>
      <c r="BA329" s="319">
        <v>95</v>
      </c>
      <c r="BB329" s="319">
        <v>70</v>
      </c>
      <c r="BC329" s="320"/>
      <c r="BD329" s="368"/>
      <c r="BE329" s="368"/>
      <c r="BF329" s="954"/>
      <c r="BG329" s="339">
        <v>2.2000000000000002</v>
      </c>
      <c r="BH329" s="365">
        <v>63.9</v>
      </c>
      <c r="BI329" s="319"/>
      <c r="BJ329" s="319"/>
      <c r="BK329" s="319"/>
      <c r="BL329" s="317"/>
      <c r="BM329" s="317"/>
      <c r="BN329" s="320"/>
      <c r="BO329" s="859">
        <f>D325*(100-E325)/(100-BH329)</f>
        <v>2.703047091412742</v>
      </c>
      <c r="BP329" s="753">
        <f>D325-BG329</f>
        <v>1.8999999999999995</v>
      </c>
      <c r="BQ329" s="860">
        <f>100*(AVERAGE(D$317,D$315,D$329,D$311,D$296,D$304,D$308,D$322,D$325,D$318)-BG329)/AVERAGE(D$317,D$315,D$329,D$311,D$296,D$304,D$308,D$322,D$325,D$318)</f>
        <v>39.293598233995574</v>
      </c>
      <c r="BR329" s="861">
        <f>100*(1-((100-AVERAGE(E$317,E$315,E$329,E$311,E$296,E$304,E$308,E$322,E$325,E$318))/(100-BH329)))</f>
        <v>32.961218836565124</v>
      </c>
      <c r="BS329" s="858">
        <f>E325-BH329</f>
        <v>12.300000000000004</v>
      </c>
      <c r="BT329" s="862">
        <f>100*(1-((BG329*BH329)/(AVERAGE(D$317,D$315,D$329,D$311,D$296,D$304,D$308,D$322,D$325,D$318)*AVERAGE(E$317,E$315,E$329,E$311,E$296,E$304,E$308,E$322,E$325,E$318))))</f>
        <v>48.823347631925465</v>
      </c>
      <c r="BU329" s="863">
        <f>100*100*((AVERAGE(E$317,E$315,E$329,E$311,E$296,E$304,E$308,E$322,E$325,E$318)-BH329)/((100-BH329)*AVERAGE(E$317,E$315,E$329,E$311,E$296,E$304,E$308,E$322,E$325,E$318)))</f>
        <v>43.485031249178903</v>
      </c>
      <c r="BV329" s="318"/>
      <c r="BW329" s="319">
        <v>50.6</v>
      </c>
      <c r="BX329" s="319">
        <v>424</v>
      </c>
      <c r="BY329" s="462">
        <f t="shared" si="384"/>
        <v>30</v>
      </c>
      <c r="BZ329" s="462">
        <f t="shared" si="385"/>
        <v>24.866666666666667</v>
      </c>
      <c r="CA329" s="348">
        <v>305</v>
      </c>
      <c r="CB329" s="348">
        <f t="shared" si="347"/>
        <v>38039.628125000003</v>
      </c>
      <c r="CC329" s="334">
        <f t="shared" si="386"/>
        <v>735.9375</v>
      </c>
      <c r="CD329" s="334">
        <f t="shared" si="387"/>
        <v>30.6640625</v>
      </c>
      <c r="CE329" s="984">
        <f>CC329/(AVERAGE(BY328,BY329)*(AVERAGE(D$317,D$315,D$329,D$311,D$296,D$304,D$308,D$322,D$325,D$318))*AVERAGE(E$317,E$315,E$329,E$311,E$296,E$304,E$308,E$322,E$325,E$318)*0.0001)</f>
        <v>811.84912725483298</v>
      </c>
      <c r="CF329" s="441">
        <f>(CB329-CB323)/(AVERAGE(BY323:BY329)*((AVERAGE(D$317,D$315,D$329,D$311,D$296,D$304,D$308,D$322,D$325,D$318)*AVERAGE(E$317,E$315,E$329,E$311,E$296,E$304,E$308,E$322,E$325,E$318))-(BG329*BH329))*0.0001*(SUM(C323:C329)/24))</f>
        <v>1557.1110058063289</v>
      </c>
      <c r="CG329" s="441">
        <f>CC329/(AVERAGE(BY329)*AVERAGE((D$317,D$315,D$329,D$311,D$296,D$304,D$308,D$322,D$325,D$318))*0.01)</f>
        <v>676.91087196467993</v>
      </c>
      <c r="CH329" s="477">
        <f t="shared" si="297"/>
        <v>0.98651139410187672</v>
      </c>
      <c r="CI329" s="319">
        <v>67.400000000000006</v>
      </c>
      <c r="CJ329" s="319" t="s">
        <v>163</v>
      </c>
      <c r="CK329" s="319">
        <v>0</v>
      </c>
      <c r="CL329" s="319">
        <v>93</v>
      </c>
      <c r="CM329" s="319">
        <v>75</v>
      </c>
      <c r="CN329" s="442"/>
    </row>
    <row r="330" spans="1:92" s="677" customFormat="1" ht="15">
      <c r="A330" s="378">
        <f t="shared" si="292"/>
        <v>41485</v>
      </c>
      <c r="B330" s="663">
        <v>0.33333333333333098</v>
      </c>
      <c r="C330" s="304">
        <f t="shared" si="351"/>
        <v>24</v>
      </c>
      <c r="D330" s="665"/>
      <c r="E330" s="293"/>
      <c r="F330" s="293"/>
      <c r="G330" s="293"/>
      <c r="H330" s="293"/>
      <c r="I330" s="293"/>
      <c r="J330" s="666"/>
      <c r="K330" s="666"/>
      <c r="L330" s="299"/>
      <c r="M330" s="666"/>
      <c r="N330" s="818"/>
      <c r="O330" s="667"/>
      <c r="P330" s="773"/>
      <c r="Q330" s="774"/>
      <c r="R330" s="775"/>
      <c r="S330" s="666"/>
      <c r="T330" s="666"/>
      <c r="U330" s="819"/>
      <c r="V330" s="665"/>
      <c r="W330" s="293"/>
      <c r="X330" s="293"/>
      <c r="Y330" s="293"/>
      <c r="Z330" s="293"/>
      <c r="AA330" s="666"/>
      <c r="AB330" s="666"/>
      <c r="AC330" s="299"/>
      <c r="AD330" s="298"/>
      <c r="AE330" s="298"/>
      <c r="AF330" s="298"/>
      <c r="AG330" s="293"/>
      <c r="AH330" s="293"/>
      <c r="AI330" s="671"/>
      <c r="AJ330" s="299"/>
      <c r="AK330" s="665"/>
      <c r="AL330" s="293">
        <v>35.9</v>
      </c>
      <c r="AM330" s="293">
        <v>646</v>
      </c>
      <c r="AN330" s="853">
        <f t="shared" si="380"/>
        <v>60.480000000000004</v>
      </c>
      <c r="AO330" s="854">
        <f t="shared" si="381"/>
        <v>23.363095238095237</v>
      </c>
      <c r="AP330" s="301">
        <v>409</v>
      </c>
      <c r="AQ330" s="490">
        <f t="shared" si="336"/>
        <v>24500.831250000003</v>
      </c>
      <c r="AR330" s="76">
        <f t="shared" si="382"/>
        <v>1327.6312500000022</v>
      </c>
      <c r="AS330" s="230">
        <f t="shared" si="383"/>
        <v>55.317968750000091</v>
      </c>
      <c r="AT330" s="208">
        <f t="shared" ref="AT330:AT331" si="390">AR330/(AVERAGE(AN330)*(AVERAGE(D$317,D$315,D$329,D$311,D$296,D$304,D$308,D$322,D$325,D$318))*AVERAGE(E$317,E$315,E$329,E$311,E$296,E$304,E$308,E$322,E$325,E$318)*0.0001)</f>
        <v>799.12371434746683</v>
      </c>
      <c r="AU330" s="585"/>
      <c r="AV330" s="230">
        <f t="shared" ref="AV330:AV331" si="391">AR330/(AVERAGE(AN330)*AVERAGE(D$317,D$315,D$329,D$311,D$296,D$304,D$308,D$322,D$325,D$318)*0.01)</f>
        <v>605.72778423823638</v>
      </c>
      <c r="AW330" s="855">
        <f t="shared" si="323"/>
        <v>0.93958333333333488</v>
      </c>
      <c r="AX330" s="293"/>
      <c r="AY330" s="293"/>
      <c r="AZ330" s="293"/>
      <c r="BA330" s="293"/>
      <c r="BB330" s="293"/>
      <c r="BC330" s="299"/>
      <c r="BD330" s="671"/>
      <c r="BE330" s="671"/>
      <c r="BF330" s="817"/>
      <c r="BG330" s="665"/>
      <c r="BH330" s="293"/>
      <c r="BI330" s="293"/>
      <c r="BJ330" s="293"/>
      <c r="BK330" s="293"/>
      <c r="BL330" s="666"/>
      <c r="BM330" s="666"/>
      <c r="BN330" s="299"/>
      <c r="BO330" s="298"/>
      <c r="BP330" s="298"/>
      <c r="BQ330" s="298"/>
      <c r="BR330" s="293"/>
      <c r="BS330" s="671"/>
      <c r="BT330" s="293"/>
      <c r="BU330" s="675"/>
      <c r="BV330" s="665"/>
      <c r="BW330" s="293">
        <v>50.6</v>
      </c>
      <c r="BX330" s="293">
        <v>440</v>
      </c>
      <c r="BY330" s="159">
        <f t="shared" si="384"/>
        <v>32</v>
      </c>
      <c r="BZ330" s="159">
        <f t="shared" si="385"/>
        <v>23.3125</v>
      </c>
      <c r="CA330" s="301">
        <v>317</v>
      </c>
      <c r="CB330" s="301">
        <f t="shared" si="347"/>
        <v>38775.565625000003</v>
      </c>
      <c r="CC330" s="208">
        <f t="shared" si="386"/>
        <v>735.9375</v>
      </c>
      <c r="CD330" s="208">
        <f t="shared" si="387"/>
        <v>30.6640625</v>
      </c>
      <c r="CE330" s="985">
        <f>CC330/(AVERAGE(BY329,BY330)*(AVERAGE(D$317,D$315,D$329,D$311,D$296,D$304,D$308,D$322,D$325,D$318))*AVERAGE(E$317,E$315,E$329,E$311,E$296,E$304,E$308,E$322,E$325,E$318)*0.0001)</f>
        <v>864.22649030353182</v>
      </c>
      <c r="CF330" s="346"/>
      <c r="CG330" s="180">
        <f>CC330/(AVERAGE(BY330)*AVERAGE((D$317,D$315,D$329,D$311,D$296,D$304,D$308,D$322,D$325,D$318))*0.01)</f>
        <v>634.60394246688747</v>
      </c>
      <c r="CH330" s="433">
        <f t="shared" si="297"/>
        <v>0.98651139410187672</v>
      </c>
      <c r="CI330" s="293"/>
      <c r="CJ330" s="293"/>
      <c r="CK330" s="293"/>
      <c r="CL330" s="293"/>
      <c r="CM330" s="293"/>
      <c r="CN330" s="676"/>
    </row>
    <row r="331" spans="1:92" s="677" customFormat="1" ht="15">
      <c r="A331" s="378">
        <f t="shared" si="292"/>
        <v>41486</v>
      </c>
      <c r="B331" s="663">
        <v>0.33333333333333098</v>
      </c>
      <c r="C331" s="304">
        <f t="shared" si="351"/>
        <v>24</v>
      </c>
      <c r="D331" s="665"/>
      <c r="E331" s="293"/>
      <c r="F331" s="293"/>
      <c r="G331" s="293"/>
      <c r="H331" s="293"/>
      <c r="I331" s="293"/>
      <c r="J331" s="666"/>
      <c r="K331" s="666"/>
      <c r="L331" s="299"/>
      <c r="M331" s="666">
        <v>50</v>
      </c>
      <c r="N331" s="293">
        <v>80</v>
      </c>
      <c r="O331" s="667"/>
      <c r="P331" s="773">
        <v>1050</v>
      </c>
      <c r="Q331" s="210">
        <f t="shared" ref="Q331" si="392">P331/((N331-M331)*N$4)</f>
        <v>6.9665605095541405</v>
      </c>
      <c r="R331" s="225">
        <f t="shared" ref="R331" si="393">10*Q331/(AVERAGE(D$261,D$262))</f>
        <v>23.144719300844322</v>
      </c>
      <c r="S331" s="786"/>
      <c r="T331" s="786"/>
      <c r="U331" s="666"/>
      <c r="V331" s="665"/>
      <c r="W331" s="293"/>
      <c r="X331" s="293"/>
      <c r="Y331" s="293"/>
      <c r="Z331" s="293"/>
      <c r="AA331" s="666"/>
      <c r="AB331" s="666"/>
      <c r="AC331" s="299"/>
      <c r="AD331" s="298"/>
      <c r="AE331" s="298"/>
      <c r="AF331" s="298"/>
      <c r="AG331" s="293"/>
      <c r="AH331" s="293"/>
      <c r="AI331" s="671"/>
      <c r="AJ331" s="299"/>
      <c r="AK331" s="665"/>
      <c r="AL331" s="293">
        <v>35.5</v>
      </c>
      <c r="AM331" s="293">
        <v>674</v>
      </c>
      <c r="AN331" s="853">
        <f t="shared" si="380"/>
        <v>60.480000000000004</v>
      </c>
      <c r="AO331" s="854">
        <f t="shared" si="381"/>
        <v>23.363095238095237</v>
      </c>
      <c r="AP331" s="301">
        <v>429</v>
      </c>
      <c r="AQ331" s="490">
        <f t="shared" si="336"/>
        <v>25707.768750000003</v>
      </c>
      <c r="AR331" s="76">
        <f t="shared" si="382"/>
        <v>1206.9375</v>
      </c>
      <c r="AS331" s="230">
        <f t="shared" si="383"/>
        <v>50.2890625</v>
      </c>
      <c r="AT331" s="208">
        <f t="shared" si="390"/>
        <v>726.47610395224137</v>
      </c>
      <c r="AU331" s="585"/>
      <c r="AV331" s="230">
        <f t="shared" si="391"/>
        <v>550.66162203475949</v>
      </c>
      <c r="AW331" s="855">
        <f t="shared" si="323"/>
        <v>0.85416666666666663</v>
      </c>
      <c r="AX331" s="293">
        <v>68.3</v>
      </c>
      <c r="AY331" s="293">
        <v>29.2</v>
      </c>
      <c r="AZ331" s="293">
        <v>0</v>
      </c>
      <c r="BA331" s="293">
        <v>96</v>
      </c>
      <c r="BB331" s="293">
        <v>70</v>
      </c>
      <c r="BC331" s="299"/>
      <c r="BD331" s="671"/>
      <c r="BE331" s="671"/>
      <c r="BF331" s="666"/>
      <c r="BG331" s="665"/>
      <c r="BH331" s="293"/>
      <c r="BI331" s="293"/>
      <c r="BJ331" s="293"/>
      <c r="BK331" s="293"/>
      <c r="BL331" s="666"/>
      <c r="BM331" s="666"/>
      <c r="BN331" s="299"/>
      <c r="BO331" s="298"/>
      <c r="BP331" s="298"/>
      <c r="BQ331" s="298"/>
      <c r="BR331" s="293"/>
      <c r="BS331" s="671"/>
      <c r="BT331" s="293"/>
      <c r="BU331" s="675"/>
      <c r="BV331" s="665"/>
      <c r="BW331" s="293">
        <v>50.6</v>
      </c>
      <c r="BX331" s="293">
        <v>456</v>
      </c>
      <c r="BY331" s="159">
        <f t="shared" si="384"/>
        <v>32</v>
      </c>
      <c r="BZ331" s="159">
        <f t="shared" si="385"/>
        <v>23.3125</v>
      </c>
      <c r="CA331" s="490">
        <v>329</v>
      </c>
      <c r="CB331" s="490">
        <f t="shared" si="347"/>
        <v>39511.503125000003</v>
      </c>
      <c r="CC331" s="208">
        <f t="shared" si="386"/>
        <v>735.9375</v>
      </c>
      <c r="CD331" s="208">
        <f t="shared" si="387"/>
        <v>30.6640625</v>
      </c>
      <c r="CE331" s="985">
        <f>CC331/(AVERAGE(BY330,BY331)*(AVERAGE(D$317,D$315,D$329,D$311,D$296,D$304,D$308,D$322,D$325,D$318))*AVERAGE(E$317,E$315,E$329,E$311,E$296,E$304,E$308,E$322,E$325,E$318)*0.0001)</f>
        <v>837.21941248154633</v>
      </c>
      <c r="CF331" s="346"/>
      <c r="CG331" s="180">
        <f>CC331/(AVERAGE(BY331)*AVERAGE((D$317,D$315,D$329,D$311,D$296,D$304,D$308,D$322,D$325,D$318))*0.01)</f>
        <v>634.60394246688747</v>
      </c>
      <c r="CH331" s="433">
        <f t="shared" si="297"/>
        <v>0.98651139410187672</v>
      </c>
      <c r="CI331" s="293">
        <v>68.7</v>
      </c>
      <c r="CJ331" s="293">
        <v>30.7</v>
      </c>
      <c r="CK331" s="293">
        <v>0</v>
      </c>
      <c r="CL331" s="293">
        <v>98</v>
      </c>
      <c r="CM331" s="293">
        <v>80</v>
      </c>
      <c r="CN331" s="676"/>
    </row>
    <row r="332" spans="1:92" s="337" customFormat="1">
      <c r="A332" s="309">
        <f t="shared" si="292"/>
        <v>41487</v>
      </c>
      <c r="B332" s="310">
        <v>0.33333333333333098</v>
      </c>
      <c r="C332" s="311">
        <f t="shared" si="351"/>
        <v>24</v>
      </c>
      <c r="D332" s="318">
        <v>3.2</v>
      </c>
      <c r="E332" s="319">
        <v>76.099999999999994</v>
      </c>
      <c r="F332" s="313">
        <v>53300</v>
      </c>
      <c r="G332" s="319"/>
      <c r="H332" s="319">
        <v>45</v>
      </c>
      <c r="I332" s="313">
        <v>6501</v>
      </c>
      <c r="J332" s="317">
        <v>3107</v>
      </c>
      <c r="K332" s="317">
        <v>43.1</v>
      </c>
      <c r="L332" s="320">
        <v>264</v>
      </c>
      <c r="M332" s="317"/>
      <c r="N332" s="319"/>
      <c r="O332" s="472"/>
      <c r="P332" s="318"/>
      <c r="Q332" s="319"/>
      <c r="R332" s="332"/>
      <c r="S332" s="317"/>
      <c r="T332" s="317"/>
      <c r="U332" s="757"/>
      <c r="V332" s="318">
        <v>2.2999999999999998</v>
      </c>
      <c r="W332" s="319">
        <v>64.099999999999994</v>
      </c>
      <c r="X332" s="319">
        <v>25000</v>
      </c>
      <c r="Y332" s="319">
        <v>27.4</v>
      </c>
      <c r="Z332" s="319">
        <v>924</v>
      </c>
      <c r="AA332" s="317">
        <v>194</v>
      </c>
      <c r="AB332" s="317">
        <v>73.400000000000006</v>
      </c>
      <c r="AC332" s="320">
        <v>127</v>
      </c>
      <c r="AD332" s="752">
        <f>D329*(100-E329)/(100-W332)</f>
        <v>2.1838440111420616</v>
      </c>
      <c r="AE332" s="753">
        <f>D329-V332</f>
        <v>1.2000000000000002</v>
      </c>
      <c r="AF332" s="864">
        <f>100*(AVERAGE(D$317,D$315,D$329,D$311,D$332,D$304,D$308,D$322,D$325,D$318)-V332)/AVERAGE(D$317,D$315,D$329,D$311,D$332,D$304,D$308,D$322,D$325,D$318)</f>
        <v>35.284186831738886</v>
      </c>
      <c r="AG332" s="864">
        <f>100*(1-((100-AVERAGE(E$317,E$315,E$329,E$311,E$332,E$304,E$308,E$322,E$325,E$318))/(100-W332)))</f>
        <v>32.504178272980525</v>
      </c>
      <c r="AH332" s="753">
        <f>E329-W332</f>
        <v>13.5</v>
      </c>
      <c r="AI332" s="847">
        <f>100*(1-((V332*W332)/(AVERAGE(D$317,D$315,D$329,D$311,D$332,D$304,D$308,D$322,D$325,D$318)*AVERAGE(E$317,E$315,E$329,E$311,E$332,E$304,E$308,E$322,E$325,E$318))))</f>
        <v>45.25091232449239</v>
      </c>
      <c r="AJ332" s="847">
        <f>100*100*((AVERAGE(E$317,E$315,E$329,E$311,E$332,E$304,E$308,E$322,E$325,E$318)-W332)/((100-W332)*AVERAGE(E$317,E$315,E$329,E$311,E$332,E$304,E$308,E$322,E$325,E$318)))</f>
        <v>42.899046144175749</v>
      </c>
      <c r="AK332" s="318"/>
      <c r="AL332" s="319">
        <v>35</v>
      </c>
      <c r="AM332" s="319">
        <v>700</v>
      </c>
      <c r="AN332" s="846">
        <f t="shared" si="380"/>
        <v>56.160000000000004</v>
      </c>
      <c r="AO332" s="847">
        <f t="shared" si="381"/>
        <v>25.160256410256409</v>
      </c>
      <c r="AP332" s="313">
        <v>448</v>
      </c>
      <c r="AQ332" s="490">
        <f t="shared" si="336"/>
        <v>26854.359375000004</v>
      </c>
      <c r="AR332" s="348">
        <f t="shared" si="382"/>
        <v>1146.5906250000007</v>
      </c>
      <c r="AS332" s="512">
        <f t="shared" si="383"/>
        <v>47.774609375000033</v>
      </c>
      <c r="AT332" s="334">
        <f>AR332/(AVERAGE(AN332)*(AVERAGE(D$317,D$315,D$329,D$311,D$332,D$304,D$308,D$322,D$325,D$318))*AVERAGE(E$317,E$315,E$329,E$311,E$332,E$304,E$308,E$322,E$325,E$318)*0.0001)</f>
        <v>758.17997280326131</v>
      </c>
      <c r="AU332" s="348">
        <f>(AQ332-AQ326)/(AVERAGE(AN326:AN332)*((AVERAGE(D$317,D$315,D$329,D$311,D$332,D$304,D$308,D$322,D$325,D$318)*AVERAGE(E$317,E$315,E$329,E$311,E$332,E$304,E$308,E$322,E$325,E$318))-(V332*W332))*0.0001*(SUM(C326:C332)/24))</f>
        <v>1279.956870220592</v>
      </c>
      <c r="AV332" s="512">
        <f>AR332/(AVERAGE(AN332)*AVERAGE(D$317,D$315,D$329,D$311,D$332,D$304,D$308,D$322,D$325,D$318)*0.01)</f>
        <v>574.46538359330316</v>
      </c>
      <c r="AW332" s="848">
        <f t="shared" si="323"/>
        <v>0.81145833333333384</v>
      </c>
      <c r="AX332" s="319"/>
      <c r="AY332" s="319"/>
      <c r="AZ332" s="319"/>
      <c r="BA332" s="319"/>
      <c r="BB332" s="319"/>
      <c r="BC332" s="320"/>
      <c r="BD332" s="368"/>
      <c r="BE332" s="368"/>
      <c r="BF332" s="954"/>
      <c r="BG332" s="318">
        <v>2.4</v>
      </c>
      <c r="BH332" s="319">
        <v>62.6</v>
      </c>
      <c r="BI332" s="319">
        <v>25900</v>
      </c>
      <c r="BJ332" s="319">
        <v>27.1</v>
      </c>
      <c r="BK332" s="319">
        <v>1970</v>
      </c>
      <c r="BL332" s="317">
        <v>388</v>
      </c>
      <c r="BM332" s="317">
        <v>77</v>
      </c>
      <c r="BN332" s="320">
        <v>123</v>
      </c>
      <c r="BO332" s="859">
        <f>D329*(100-E329)/(100-BH332)</f>
        <v>2.0962566844919794</v>
      </c>
      <c r="BP332" s="753">
        <f>D329-BG332</f>
        <v>1.1000000000000001</v>
      </c>
      <c r="BQ332" s="860">
        <f>100*(AVERAGE(D$317,D$315,D$329,D$311,D$332,D$304,D$308,D$322,D$325,D$318)-BG332)/AVERAGE(D$317,D$315,D$329,D$311,D$332,D$304,D$308,D$322,D$325,D$318)</f>
        <v>32.470455824423183</v>
      </c>
      <c r="BR332" s="861">
        <f>100*(1-((100-AVERAGE(E$317,E$315,E$329,E$311,E$332,E$304,E$308,E$322,E$325,E$318))/(100-BH332)))</f>
        <v>35.211229946524078</v>
      </c>
      <c r="BS332" s="858">
        <f>E329-BH332</f>
        <v>14.999999999999993</v>
      </c>
      <c r="BT332" s="862">
        <f>100*(1-((BG332*BH332)/(AVERAGE(D$317,D$315,D$329,D$311,D$332,D$304,D$308,D$322,D$325,D$318)*AVERAGE(E$317,E$315,E$329,E$311,E$332,E$304,E$308,E$322,E$325,E$318))))</f>
        <v>44.20740058082977</v>
      </c>
      <c r="BU332" s="863">
        <f>100*100*((AVERAGE(E$317,E$315,E$329,E$311,E$332,E$304,E$308,E$322,E$325,E$318)-BH332)/((100-BH332)*AVERAGE(E$317,E$315,E$329,E$311,E$332,E$304,E$308,E$322,E$325,E$318)))</f>
        <v>46.471815579622373</v>
      </c>
      <c r="BV332" s="318"/>
      <c r="BW332" s="319">
        <v>50.5</v>
      </c>
      <c r="BX332" s="319">
        <v>472</v>
      </c>
      <c r="BY332" s="462">
        <f t="shared" si="384"/>
        <v>32</v>
      </c>
      <c r="BZ332" s="462">
        <f t="shared" si="385"/>
        <v>23.3125</v>
      </c>
      <c r="CA332" s="348">
        <v>341</v>
      </c>
      <c r="CB332" s="348">
        <f t="shared" si="347"/>
        <v>40247.440625000003</v>
      </c>
      <c r="CC332" s="334">
        <f t="shared" si="386"/>
        <v>735.9375</v>
      </c>
      <c r="CD332" s="334">
        <f t="shared" si="387"/>
        <v>30.6640625</v>
      </c>
      <c r="CE332" s="984">
        <f>CC332/(AVERAGE(BY331,BY332)*(AVERAGE(D$317,D$315,D$329,D$311,D$332,D$304,D$308,D$322,D$325,D$318))*AVERAGE(E$317,E$315,E$329,E$311,E$332,E$304,E$308,E$322,E$325,E$318)*0.0001)</f>
        <v>854.04740197029719</v>
      </c>
      <c r="CF332" s="441">
        <f>(CB332-CB326)/(AVERAGE(BY326:BY332)*((AVERAGE(D$317,D$315,D$329,D$311,D$332,D$304,D$308,D$322,D$325,D$318)*AVERAGE(E$317,E$315,E$329,E$311,E$332,E$304,E$308,E$322,E$325,E$318))-(BG332*BH332))*0.0001*(SUM(C326:C332)/24))</f>
        <v>1664.0644788187685</v>
      </c>
      <c r="CG332" s="441">
        <f>CC332/(AVERAGE(BY332)*AVERAGE((D$317,D$315,D$329,D$311,D$332,D$304,D$308,D$322,D$325,D$318))*0.01)</f>
        <v>647.10317599887446</v>
      </c>
      <c r="CH332" s="477">
        <f t="shared" si="297"/>
        <v>0.98651139410187672</v>
      </c>
      <c r="CI332" s="319"/>
      <c r="CJ332" s="319"/>
      <c r="CK332" s="319"/>
      <c r="CL332" s="319"/>
      <c r="CM332" s="319"/>
      <c r="CN332" s="442"/>
    </row>
    <row r="333" spans="1:92" s="677" customFormat="1" ht="15">
      <c r="A333" s="378">
        <f t="shared" si="292"/>
        <v>41488</v>
      </c>
      <c r="B333" s="663">
        <v>0.33333333333333098</v>
      </c>
      <c r="C333" s="304">
        <f t="shared" si="351"/>
        <v>24</v>
      </c>
      <c r="D333" s="665"/>
      <c r="E333" s="293"/>
      <c r="F333" s="293"/>
      <c r="G333" s="293"/>
      <c r="H333" s="293"/>
      <c r="I333" s="293"/>
      <c r="J333" s="666"/>
      <c r="K333" s="666"/>
      <c r="L333" s="299"/>
      <c r="M333" s="666"/>
      <c r="N333" s="293"/>
      <c r="O333" s="667"/>
      <c r="P333" s="773"/>
      <c r="Q333" s="774"/>
      <c r="R333" s="775"/>
      <c r="S333" s="786"/>
      <c r="T333" s="786"/>
      <c r="U333" s="777"/>
      <c r="V333" s="665"/>
      <c r="W333" s="293"/>
      <c r="X333" s="293"/>
      <c r="Y333" s="293"/>
      <c r="Z333" s="293"/>
      <c r="AA333" s="666"/>
      <c r="AB333" s="666"/>
      <c r="AC333" s="299"/>
      <c r="AD333" s="298"/>
      <c r="AE333" s="298"/>
      <c r="AF333" s="298"/>
      <c r="AG333" s="293"/>
      <c r="AH333" s="293"/>
      <c r="AI333" s="671"/>
      <c r="AJ333" s="299"/>
      <c r="AK333" s="665"/>
      <c r="AL333" s="293">
        <v>35.299999999999997</v>
      </c>
      <c r="AM333" s="293">
        <v>730</v>
      </c>
      <c r="AN333" s="853">
        <f t="shared" si="380"/>
        <v>64.800000000000011</v>
      </c>
      <c r="AO333" s="854">
        <f t="shared" si="381"/>
        <v>21.80555555555555</v>
      </c>
      <c r="AP333" s="301">
        <v>468</v>
      </c>
      <c r="AQ333" s="490">
        <f t="shared" si="336"/>
        <v>28061.296875000004</v>
      </c>
      <c r="AR333" s="76">
        <f t="shared" si="382"/>
        <v>1206.9375</v>
      </c>
      <c r="AS333" s="230">
        <f t="shared" si="383"/>
        <v>50.2890625</v>
      </c>
      <c r="AT333" s="208">
        <f t="shared" ref="AT333:AT335" si="394">AR333/(AVERAGE(AN333)*(AVERAGE(D$317,D$315,D$329,D$311,D$332,D$304,D$308,D$322,D$325,D$318))*AVERAGE(E$317,E$315,E$329,E$311,E$332,E$304,E$308,E$322,E$325,E$318)*0.0001)</f>
        <v>691.67295764508003</v>
      </c>
      <c r="AU333" s="585"/>
      <c r="AV333" s="230">
        <f t="shared" ref="AV333:AV335" si="395">AR333/(AVERAGE(AN333)*AVERAGE(D$317,D$315,D$329,D$311,D$332,D$304,D$308,D$322,D$325,D$318)*0.01)</f>
        <v>524.0736832781007</v>
      </c>
      <c r="AW333" s="855">
        <f t="shared" si="323"/>
        <v>0.85416666666666663</v>
      </c>
      <c r="AX333" s="293"/>
      <c r="AY333" s="293"/>
      <c r="AZ333" s="293"/>
      <c r="BA333" s="293"/>
      <c r="BB333" s="293"/>
      <c r="BC333" s="299"/>
      <c r="BD333" s="786"/>
      <c r="BE333" s="786"/>
      <c r="BF333" s="820"/>
      <c r="BG333" s="665"/>
      <c r="BH333" s="293"/>
      <c r="BI333" s="293"/>
      <c r="BJ333" s="293"/>
      <c r="BK333" s="293"/>
      <c r="BL333" s="666"/>
      <c r="BM333" s="666"/>
      <c r="BN333" s="299"/>
      <c r="BO333" s="298"/>
      <c r="BP333" s="298"/>
      <c r="BQ333" s="298"/>
      <c r="BR333" s="293"/>
      <c r="BS333" s="671"/>
      <c r="BT333" s="293"/>
      <c r="BU333" s="675"/>
      <c r="BV333" s="665"/>
      <c r="BW333" s="293">
        <v>50.5</v>
      </c>
      <c r="BX333" s="293">
        <v>487</v>
      </c>
      <c r="BY333" s="159">
        <f t="shared" si="384"/>
        <v>30</v>
      </c>
      <c r="BZ333" s="159">
        <f t="shared" si="385"/>
        <v>24.866666666666667</v>
      </c>
      <c r="CA333" s="490">
        <v>353</v>
      </c>
      <c r="CB333" s="490">
        <f t="shared" si="347"/>
        <v>40983.378125000003</v>
      </c>
      <c r="CC333" s="208">
        <f t="shared" si="386"/>
        <v>735.9375</v>
      </c>
      <c r="CD333" s="208">
        <f t="shared" si="387"/>
        <v>30.6640625</v>
      </c>
      <c r="CE333" s="985">
        <f>CC333/(AVERAGE(BY332,BY333)*(AVERAGE(D$317,D$315,D$329,D$311,D$332,D$304,D$308,D$322,D$325,D$318))*AVERAGE(E$317,E$315,E$329,E$311,E$332,E$304,E$308,E$322,E$325,E$318)*0.0001)</f>
        <v>881.59731816288752</v>
      </c>
      <c r="CF333" s="346"/>
      <c r="CG333" s="180">
        <f>CC333/(AVERAGE(BY333)*AVERAGE((D$317,D$315,D$329,D$311,D$332,D$304,D$308,D$322,D$325,D$318))*0.01)</f>
        <v>690.24338773213287</v>
      </c>
      <c r="CH333" s="433">
        <f t="shared" si="297"/>
        <v>0.98651139410187672</v>
      </c>
      <c r="CI333" s="293"/>
      <c r="CJ333" s="293"/>
      <c r="CK333" s="293"/>
      <c r="CL333" s="293"/>
      <c r="CM333" s="293"/>
      <c r="CN333" s="676"/>
    </row>
    <row r="334" spans="1:92" s="677" customFormat="1" ht="15">
      <c r="A334" s="378">
        <f t="shared" si="292"/>
        <v>41489</v>
      </c>
      <c r="B334" s="663">
        <v>0.33333333333333098</v>
      </c>
      <c r="C334" s="304">
        <f t="shared" si="351"/>
        <v>24</v>
      </c>
      <c r="D334" s="665"/>
      <c r="E334" s="293"/>
      <c r="F334" s="293"/>
      <c r="G334" s="293"/>
      <c r="H334" s="293"/>
      <c r="I334" s="293"/>
      <c r="J334" s="666"/>
      <c r="K334" s="666"/>
      <c r="L334" s="299"/>
      <c r="M334" s="666"/>
      <c r="N334" s="293"/>
      <c r="O334" s="667"/>
      <c r="P334" s="668"/>
      <c r="Q334" s="669"/>
      <c r="R334" s="670"/>
      <c r="S334" s="786"/>
      <c r="T334" s="786"/>
      <c r="U334" s="777"/>
      <c r="V334" s="665"/>
      <c r="W334" s="293"/>
      <c r="X334" s="293"/>
      <c r="Y334" s="293"/>
      <c r="Z334" s="293"/>
      <c r="AA334" s="666"/>
      <c r="AB334" s="666"/>
      <c r="AC334" s="299"/>
      <c r="AD334" s="298"/>
      <c r="AE334" s="298"/>
      <c r="AF334" s="298"/>
      <c r="AG334" s="293"/>
      <c r="AH334" s="293"/>
      <c r="AI334" s="671"/>
      <c r="AJ334" s="299"/>
      <c r="AK334" s="665"/>
      <c r="AL334" s="293">
        <v>35.200000000000003</v>
      </c>
      <c r="AM334" s="293">
        <v>758</v>
      </c>
      <c r="AN334" s="853">
        <f t="shared" si="380"/>
        <v>60.480000000000004</v>
      </c>
      <c r="AO334" s="854">
        <f t="shared" si="381"/>
        <v>23.363095238095237</v>
      </c>
      <c r="AP334" s="301">
        <v>489</v>
      </c>
      <c r="AQ334" s="490">
        <f t="shared" si="336"/>
        <v>29328.581250000003</v>
      </c>
      <c r="AR334" s="76">
        <f t="shared" si="382"/>
        <v>1267.2843749999993</v>
      </c>
      <c r="AS334" s="230">
        <f t="shared" si="383"/>
        <v>52.803515624999967</v>
      </c>
      <c r="AT334" s="208">
        <f t="shared" si="394"/>
        <v>778.13207735071467</v>
      </c>
      <c r="AU334" s="585"/>
      <c r="AV334" s="230">
        <f t="shared" si="395"/>
        <v>589.58289368786313</v>
      </c>
      <c r="AW334" s="855">
        <f t="shared" si="323"/>
        <v>0.89687499999999953</v>
      </c>
      <c r="AX334" s="293"/>
      <c r="AY334" s="293"/>
      <c r="AZ334" s="293"/>
      <c r="BA334" s="293"/>
      <c r="BB334" s="293"/>
      <c r="BC334" s="299"/>
      <c r="BD334" s="671"/>
      <c r="BE334" s="671"/>
      <c r="BF334" s="820"/>
      <c r="BG334" s="665"/>
      <c r="BH334" s="293"/>
      <c r="BI334" s="293"/>
      <c r="BJ334" s="293"/>
      <c r="BK334" s="293"/>
      <c r="BL334" s="666"/>
      <c r="BM334" s="666"/>
      <c r="BN334" s="299"/>
      <c r="BO334" s="298"/>
      <c r="BP334" s="298"/>
      <c r="BQ334" s="298"/>
      <c r="BR334" s="293"/>
      <c r="BS334" s="671"/>
      <c r="BT334" s="293"/>
      <c r="BU334" s="675"/>
      <c r="BV334" s="665"/>
      <c r="BW334" s="293">
        <v>50.7</v>
      </c>
      <c r="BX334" s="293">
        <v>503</v>
      </c>
      <c r="BY334" s="159">
        <f t="shared" si="384"/>
        <v>32</v>
      </c>
      <c r="BZ334" s="159">
        <f t="shared" si="385"/>
        <v>23.3125</v>
      </c>
      <c r="CA334" s="490">
        <v>365</v>
      </c>
      <c r="CB334" s="490">
        <f t="shared" si="347"/>
        <v>41719.315625000003</v>
      </c>
      <c r="CC334" s="208">
        <f t="shared" si="386"/>
        <v>735.9375</v>
      </c>
      <c r="CD334" s="208">
        <f t="shared" si="387"/>
        <v>30.6640625</v>
      </c>
      <c r="CE334" s="985">
        <f>CC334/(AVERAGE(BY333,BY334)*(AVERAGE(D$317,D$315,D$329,D$311,D$332,D$304,D$308,D$322,D$325,D$318))*AVERAGE(E$317,E$315,E$329,E$311,E$332,E$304,E$308,E$322,E$325,E$318)*0.0001)</f>
        <v>881.59731816288752</v>
      </c>
      <c r="CF334" s="346"/>
      <c r="CG334" s="180">
        <f>CC334/(AVERAGE(BY334)*AVERAGE((D$317,D$315,D$329,D$311,D$332,D$304,D$308,D$322,D$325,D$318))*0.01)</f>
        <v>647.10317599887446</v>
      </c>
      <c r="CH334" s="433">
        <f t="shared" si="297"/>
        <v>0.98651139410187672</v>
      </c>
      <c r="CI334" s="293"/>
      <c r="CJ334" s="293"/>
      <c r="CK334" s="293"/>
      <c r="CL334" s="293"/>
      <c r="CM334" s="293"/>
      <c r="CN334" s="676"/>
    </row>
    <row r="335" spans="1:92" s="677" customFormat="1" ht="15">
      <c r="A335" s="378">
        <f t="shared" si="292"/>
        <v>41490</v>
      </c>
      <c r="B335" s="663">
        <v>0.33333333333333098</v>
      </c>
      <c r="C335" s="304">
        <f t="shared" si="351"/>
        <v>24</v>
      </c>
      <c r="D335" s="665"/>
      <c r="E335" s="293"/>
      <c r="F335" s="293"/>
      <c r="G335" s="293"/>
      <c r="H335" s="293"/>
      <c r="I335" s="293"/>
      <c r="J335" s="666"/>
      <c r="K335" s="666"/>
      <c r="L335" s="299"/>
      <c r="M335" s="666">
        <v>50</v>
      </c>
      <c r="N335" s="293">
        <v>80</v>
      </c>
      <c r="O335" s="667"/>
      <c r="P335" s="773">
        <v>1050</v>
      </c>
      <c r="Q335" s="210">
        <f t="shared" ref="Q335" si="396">P335/((N335-M335)*N$4)</f>
        <v>6.9665605095541405</v>
      </c>
      <c r="R335" s="225">
        <f t="shared" ref="R335" si="397">10*Q335/(AVERAGE(D$261,D$262))</f>
        <v>23.144719300844322</v>
      </c>
      <c r="S335" s="666"/>
      <c r="T335" s="666"/>
      <c r="U335" s="777"/>
      <c r="V335" s="665"/>
      <c r="W335" s="293"/>
      <c r="X335" s="293"/>
      <c r="Y335" s="293"/>
      <c r="Z335" s="293"/>
      <c r="AA335" s="666"/>
      <c r="AB335" s="666"/>
      <c r="AC335" s="299"/>
      <c r="AD335" s="298"/>
      <c r="AE335" s="298"/>
      <c r="AF335" s="298"/>
      <c r="AG335" s="293"/>
      <c r="AH335" s="293"/>
      <c r="AI335" s="671"/>
      <c r="AJ335" s="299"/>
      <c r="AK335" s="665"/>
      <c r="AL335" s="293"/>
      <c r="AM335" s="293">
        <v>786</v>
      </c>
      <c r="AN335" s="853">
        <f t="shared" si="380"/>
        <v>60.480000000000004</v>
      </c>
      <c r="AO335" s="854">
        <f t="shared" si="381"/>
        <v>23.363095238095237</v>
      </c>
      <c r="AP335" s="301">
        <v>509</v>
      </c>
      <c r="AQ335" s="490">
        <f t="shared" si="336"/>
        <v>30535.518750000003</v>
      </c>
      <c r="AR335" s="76">
        <f t="shared" si="382"/>
        <v>1206.9375</v>
      </c>
      <c r="AS335" s="230">
        <f t="shared" si="383"/>
        <v>50.2890625</v>
      </c>
      <c r="AT335" s="208">
        <f t="shared" si="394"/>
        <v>741.07816890544302</v>
      </c>
      <c r="AU335" s="585"/>
      <c r="AV335" s="230">
        <f t="shared" si="395"/>
        <v>561.50751779796519</v>
      </c>
      <c r="AW335" s="855">
        <f t="shared" si="323"/>
        <v>0.85416666666666663</v>
      </c>
      <c r="AX335" s="293"/>
      <c r="AY335" s="293"/>
      <c r="AZ335" s="293"/>
      <c r="BA335" s="293"/>
      <c r="BB335" s="293"/>
      <c r="BC335" s="299"/>
      <c r="BD335" s="671"/>
      <c r="BE335" s="671"/>
      <c r="BF335" s="817"/>
      <c r="BG335" s="665"/>
      <c r="BH335" s="293"/>
      <c r="BI335" s="293"/>
      <c r="BJ335" s="293"/>
      <c r="BK335" s="293"/>
      <c r="BL335" s="666"/>
      <c r="BM335" s="666"/>
      <c r="BN335" s="299"/>
      <c r="BO335" s="298"/>
      <c r="BP335" s="298"/>
      <c r="BQ335" s="298"/>
      <c r="BR335" s="293"/>
      <c r="BS335" s="671"/>
      <c r="BT335" s="293"/>
      <c r="BU335" s="675"/>
      <c r="BV335" s="665"/>
      <c r="BW335" s="293"/>
      <c r="BX335" s="293">
        <v>519</v>
      </c>
      <c r="BY335" s="159">
        <f t="shared" si="384"/>
        <v>32</v>
      </c>
      <c r="BZ335" s="159">
        <f t="shared" si="385"/>
        <v>23.3125</v>
      </c>
      <c r="CA335" s="490">
        <v>377</v>
      </c>
      <c r="CB335" s="490">
        <f t="shared" si="347"/>
        <v>42455.253125000003</v>
      </c>
      <c r="CC335" s="208">
        <f t="shared" si="386"/>
        <v>735.9375</v>
      </c>
      <c r="CD335" s="208">
        <f t="shared" si="387"/>
        <v>30.6640625</v>
      </c>
      <c r="CE335" s="985">
        <f>CC335/(AVERAGE(BY334,BY335)*(AVERAGE(D$317,D$315,D$329,D$311,D$332,D$304,D$308,D$322,D$325,D$318))*AVERAGE(E$317,E$315,E$329,E$311,E$332,E$304,E$308,E$322,E$325,E$318)*0.0001)</f>
        <v>854.04740197029719</v>
      </c>
      <c r="CF335" s="346"/>
      <c r="CG335" s="180">
        <f>CC335/(AVERAGE(BY335)*AVERAGE((D$317,D$315,D$329,D$311,D$332,D$304,D$308,D$322,D$325,D$318))*0.01)</f>
        <v>647.10317599887446</v>
      </c>
      <c r="CH335" s="433">
        <f t="shared" si="297"/>
        <v>0.98651139410187672</v>
      </c>
      <c r="CI335" s="293"/>
      <c r="CJ335" s="293"/>
      <c r="CK335" s="293"/>
      <c r="CL335" s="293"/>
      <c r="CM335" s="293"/>
      <c r="CN335" s="676"/>
    </row>
    <row r="336" spans="1:92">
      <c r="A336" s="378">
        <f t="shared" si="292"/>
        <v>41491</v>
      </c>
      <c r="B336" s="663">
        <v>0.45833333333333331</v>
      </c>
      <c r="C336" s="304">
        <f t="shared" si="351"/>
        <v>27.000000000000053</v>
      </c>
      <c r="D336" s="65"/>
      <c r="E336" s="66"/>
      <c r="F336" s="66"/>
      <c r="G336" s="66"/>
      <c r="H336" s="66"/>
      <c r="I336" s="66"/>
      <c r="J336" s="86"/>
      <c r="K336" s="86"/>
      <c r="L336" s="63"/>
      <c r="M336" s="86"/>
      <c r="N336" s="66"/>
      <c r="O336" s="265"/>
      <c r="P336" s="65"/>
      <c r="Q336" s="66"/>
      <c r="R336" s="67"/>
      <c r="S336" s="86"/>
      <c r="T336" s="86"/>
      <c r="U336" s="232"/>
      <c r="V336" s="65"/>
      <c r="W336" s="66"/>
      <c r="X336" s="66"/>
      <c r="Y336" s="66"/>
      <c r="Z336" s="66"/>
      <c r="AA336" s="86"/>
      <c r="AB336" s="86"/>
      <c r="AC336" s="63"/>
      <c r="AD336" s="87"/>
      <c r="AE336" s="87"/>
      <c r="AF336" s="87"/>
      <c r="AG336" s="66"/>
      <c r="AH336" s="66"/>
      <c r="AI336" s="64"/>
      <c r="AJ336" s="63"/>
      <c r="AK336" s="65"/>
      <c r="AL336" s="66"/>
      <c r="AM336" s="66">
        <v>822</v>
      </c>
      <c r="AN336" s="853">
        <f t="shared" ref="AN336:AN340" si="398">(AM336-AM335)*AQ$1/((C335)/24)</f>
        <v>77.760000000000005</v>
      </c>
      <c r="AO336" s="854">
        <f t="shared" ref="AO336:AO340" si="399">AQ$3/AN336</f>
        <v>18.171296296296294</v>
      </c>
      <c r="AP336" s="72">
        <v>533</v>
      </c>
      <c r="AQ336" s="490">
        <f t="shared" si="336"/>
        <v>31983.843750000004</v>
      </c>
      <c r="AR336" s="76">
        <f t="shared" ref="AR336:AR340" si="400">(AQ336-AQ335)/(C336/24)</f>
        <v>1287.399999999998</v>
      </c>
      <c r="AS336" s="230">
        <f t="shared" ref="AS336:AS340" si="401">(AQ336-AQ335)/C336</f>
        <v>53.641666666666588</v>
      </c>
      <c r="AT336" s="208">
        <f t="shared" ref="AT336" si="402">AR336/(AVERAGE(AN336)*(AVERAGE(D$317,D$315,D$329,D$311,D$332,D$304,D$308,D$322,D$325,D$318))*AVERAGE(E$317,E$315,E$329,E$311,E$332,E$304,E$308,E$322,E$325,E$318)*0.0001)</f>
        <v>614.8204067956259</v>
      </c>
      <c r="AU336" s="585"/>
      <c r="AV336" s="230">
        <f t="shared" ref="AV336" si="403">AR336/(AVERAGE(AN336)*AVERAGE(D$317,D$315,D$329,D$311,D$332,D$304,D$308,D$322,D$325,D$318)*0.01)</f>
        <v>465.8432740249778</v>
      </c>
      <c r="AW336" s="855">
        <f t="shared" si="323"/>
        <v>0.91111111111110976</v>
      </c>
      <c r="AX336" s="66"/>
      <c r="AY336" s="66"/>
      <c r="AZ336" s="66"/>
      <c r="BA336" s="66"/>
      <c r="BB336" s="66"/>
      <c r="BC336" s="63"/>
      <c r="BD336" s="64"/>
      <c r="BE336" s="64"/>
      <c r="BF336" s="233"/>
      <c r="BG336" s="65"/>
      <c r="BH336" s="66"/>
      <c r="BI336" s="66"/>
      <c r="BJ336" s="66"/>
      <c r="BK336" s="66"/>
      <c r="BL336" s="86"/>
      <c r="BM336" s="86"/>
      <c r="BN336" s="63"/>
      <c r="BO336" s="87"/>
      <c r="BP336" s="87"/>
      <c r="BQ336" s="87"/>
      <c r="BR336" s="66"/>
      <c r="BS336" s="64"/>
      <c r="BT336" s="66"/>
      <c r="BU336" s="67"/>
      <c r="BV336" s="65"/>
      <c r="BW336" s="66"/>
      <c r="BX336" s="66">
        <v>539</v>
      </c>
      <c r="BY336" s="159">
        <f t="shared" ref="BY336:BY340" si="404">(BX336-BX335)*CB$1/((C336)/24)</f>
        <v>35.555555555555486</v>
      </c>
      <c r="BZ336" s="159">
        <f t="shared" ref="BZ336:BZ340" si="405">CB$3/BY336</f>
        <v>20.981250000000042</v>
      </c>
      <c r="CA336" s="76">
        <v>392</v>
      </c>
      <c r="CB336" s="490">
        <f t="shared" ref="CB336:CB340" si="406">((CA336-CA$55)*CB$2)+CB$55</f>
        <v>43375.175000000003</v>
      </c>
      <c r="CC336" s="208">
        <f t="shared" ref="CC336:CC340" si="407">(CB336-CB335)/((C336/24))</f>
        <v>817.70833333333167</v>
      </c>
      <c r="CD336" s="208">
        <f t="shared" ref="CD336:CD340" si="408">(CB336-CB335)/(C336)</f>
        <v>34.071180555555486</v>
      </c>
      <c r="CE336" s="985">
        <f>CC336/(AVERAGE(BY335,BY336)*(AVERAGE(D$317,D$315,D$329,D$311,D$332,D$304,D$308,D$322,D$325,D$318))*AVERAGE(E$317,E$315,E$329,E$311,E$332,E$304,E$308,E$322,E$325,E$318)*0.0001)</f>
        <v>898.99726523189088</v>
      </c>
      <c r="CF336" s="346"/>
      <c r="CG336" s="180">
        <f>CC336/(AVERAGE(BY336)*AVERAGE((D$317,D$315,D$329,D$311,D$332,D$304,D$308,D$322,D$325,D$318))*0.01)</f>
        <v>647.10317599887446</v>
      </c>
      <c r="CH336" s="433">
        <f t="shared" si="297"/>
        <v>1.0961237712243053</v>
      </c>
      <c r="CI336" s="66"/>
      <c r="CJ336" s="66"/>
      <c r="CK336" s="66"/>
      <c r="CL336" s="66"/>
      <c r="CM336" s="66"/>
      <c r="CN336" s="110"/>
    </row>
    <row r="337" spans="1:112" s="337" customFormat="1" ht="15">
      <c r="A337" s="309">
        <f t="shared" si="292"/>
        <v>41492</v>
      </c>
      <c r="B337" s="310">
        <v>0.29166666666666669</v>
      </c>
      <c r="C337" s="311">
        <f t="shared" si="351"/>
        <v>20</v>
      </c>
      <c r="D337" s="339">
        <v>2.8</v>
      </c>
      <c r="E337" s="365">
        <v>80.7</v>
      </c>
      <c r="F337" s="313"/>
      <c r="G337" s="319">
        <v>5.33</v>
      </c>
      <c r="H337" s="319"/>
      <c r="I337" s="313"/>
      <c r="J337" s="315"/>
      <c r="K337" s="315"/>
      <c r="L337" s="320"/>
      <c r="M337" s="317">
        <v>58</v>
      </c>
      <c r="N337" s="319">
        <v>85</v>
      </c>
      <c r="O337" s="472"/>
      <c r="P337" s="763">
        <v>1050</v>
      </c>
      <c r="Q337" s="764">
        <f t="shared" ref="Q337:Q338" si="409">P337/((N337-M337)*N$4)</f>
        <v>7.7406227883934893</v>
      </c>
      <c r="R337" s="765">
        <f t="shared" ref="R337:R338" si="410">10*Q337/(AVERAGE(D$261,D$262))</f>
        <v>25.71635477871591</v>
      </c>
      <c r="S337" s="317"/>
      <c r="T337" s="317"/>
      <c r="U337" s="757"/>
      <c r="V337" s="339">
        <v>2.1</v>
      </c>
      <c r="W337" s="365">
        <v>67.599999999999994</v>
      </c>
      <c r="X337" s="348"/>
      <c r="Y337" s="319"/>
      <c r="Z337" s="313"/>
      <c r="AA337" s="315"/>
      <c r="AB337" s="315"/>
      <c r="AC337" s="320"/>
      <c r="AD337" s="752">
        <f>D332*(100-E332)/(100-W337)</f>
        <v>2.3604938271604938</v>
      </c>
      <c r="AE337" s="753">
        <f>D332-V337</f>
        <v>1.1000000000000001</v>
      </c>
      <c r="AF337" s="864">
        <f>100*(AVERAGE(D$317,D$315,D$329,D$311,D$332,D$337,D$308,D$322,D$325,D$318)-V337)/AVERAGE(D$317,D$315,D$329,D$311,D$332,D$337,D$308,D$322,D$325,D$318)</f>
        <v>38.846825859056487</v>
      </c>
      <c r="AG337" s="864">
        <f>100*(1-((100-AVERAGE(E$317,E$315,E$329,E$311,E$332,E$337,E$308,E$322,E$325,E$318))/(100-W337)))</f>
        <v>26.941358024691397</v>
      </c>
      <c r="AH337" s="753">
        <f>E332-W337</f>
        <v>8.5</v>
      </c>
      <c r="AI337" s="847">
        <f>100*(1-((V337*W337)/(AVERAGE(D$317,D$315,D$329,D$311,D$332,D$337,D$308,D$322,D$325,D$318)*AVERAGE(E$317,E$315,E$329,E$311,E$332,E$337,E$308,E$322,E$325,E$318))))</f>
        <v>45.840315320156414</v>
      </c>
      <c r="AJ337" s="847">
        <f>100*100*((AVERAGE(E$317,E$315,E$329,E$311,E$332,E$337,E$308,E$322,E$325,E$318)-W337)/((100-W337)*AVERAGE(E$317,E$315,E$329,E$311,E$332,E$337,E$308,E$322,E$325,E$318)))</f>
        <v>35.296359214310932</v>
      </c>
      <c r="AK337" s="318">
        <v>7.09</v>
      </c>
      <c r="AL337" s="319">
        <v>34.4</v>
      </c>
      <c r="AM337" s="319">
        <v>840</v>
      </c>
      <c r="AN337" s="846">
        <f t="shared" si="398"/>
        <v>34.559999999999931</v>
      </c>
      <c r="AO337" s="847">
        <f t="shared" si="399"/>
        <v>40.88541666666675</v>
      </c>
      <c r="AP337" s="348">
        <v>548</v>
      </c>
      <c r="AQ337" s="490">
        <f t="shared" si="336"/>
        <v>32889.046875</v>
      </c>
      <c r="AR337" s="348">
        <f t="shared" si="400"/>
        <v>1086.2437499999955</v>
      </c>
      <c r="AS337" s="512">
        <f t="shared" si="401"/>
        <v>45.260156249999817</v>
      </c>
      <c r="AT337" s="334">
        <f>AR337/(AVERAGE(AN336,AN337)*(AVERAGE(D$317,D$315,D$329,D$311,D$332,D$337,D$308,D$322,D$325,D$318))*AVERAGE(E$317,E$315,E$329,E$311,E$332,E$337,E$308,E$322,E$325,E$318)*0.0001)</f>
        <v>737.92177857384979</v>
      </c>
      <c r="AU337" s="348">
        <f>(AQ337-AQ331)/(AVERAGE(AN331:AN337)*((AVERAGE(D$317,D$315,D$329,D$311,D$332,D$337,D$308,D$322,D$325,D$318)*AVERAGE(E$317,E$315,E$329,E$311,E$332,E$337,E$308,E$322,E$325,E$318))-(V337*W337))*0.0001*(SUM(C331:C337)/24))</f>
        <v>1449.7800452536242</v>
      </c>
      <c r="AV337" s="512">
        <f>AR337/(AVERAGE(AN337)*AVERAGE(D$317,D$315,D$329,D$311,D$332,D$337,D$308,D$322,D$325,D$318)*0.01)</f>
        <v>915.27851084740644</v>
      </c>
      <c r="AW337" s="848">
        <f t="shared" si="323"/>
        <v>0.76874999999999682</v>
      </c>
      <c r="AX337" s="319">
        <v>70</v>
      </c>
      <c r="AY337" s="319">
        <v>28</v>
      </c>
      <c r="AZ337" s="319">
        <v>0</v>
      </c>
      <c r="BA337" s="319">
        <v>45</v>
      </c>
      <c r="BB337" s="319">
        <v>60</v>
      </c>
      <c r="BC337" s="320"/>
      <c r="BD337" s="368"/>
      <c r="BE337" s="368"/>
      <c r="BF337" s="954"/>
      <c r="BG337" s="339">
        <v>2.1</v>
      </c>
      <c r="BH337" s="365">
        <v>65.400000000000006</v>
      </c>
      <c r="BI337" s="348"/>
      <c r="BJ337" s="319"/>
      <c r="BK337" s="348"/>
      <c r="BL337" s="315"/>
      <c r="BM337" s="315"/>
      <c r="BN337" s="320"/>
      <c r="BO337" s="859">
        <f>D332*(100-E332)/(100-BH337)</f>
        <v>2.2104046242774573</v>
      </c>
      <c r="BP337" s="753">
        <f>D332-BG337</f>
        <v>1.1000000000000001</v>
      </c>
      <c r="BQ337" s="860">
        <f>100*(AVERAGE(D$317,D$315,D$329,D$311,D$332,D$337,D$308,D$322,D$325,D$318)-BG337)/AVERAGE(D$317,D$315,D$329,D$311,D$332,D$337,D$308,D$322,D$325,D$318)</f>
        <v>38.846825859056487</v>
      </c>
      <c r="BR337" s="861">
        <f>100*(1-((100-AVERAGE(E$317,E$315,E$329,E$311,E$332,E$337,E$308,E$322,E$325,E$318))/(100-BH337)))</f>
        <v>31.58670520231215</v>
      </c>
      <c r="BS337" s="858">
        <f>E332-BH337</f>
        <v>10.699999999999989</v>
      </c>
      <c r="BT337" s="862">
        <f>100*(1-((BG337*BH337)/(AVERAGE(D$317,D$315,D$329,D$311,D$332,D$337,D$308,D$322,D$325,D$318)*AVERAGE(E$317,E$315,E$329,E$311,E$332,E$337,E$308,E$322,E$325,E$318))))</f>
        <v>47.602908608553683</v>
      </c>
      <c r="BU337" s="863">
        <f>100*100*((AVERAGE(E$317,E$315,E$329,E$311,E$332,E$337,E$308,E$322,E$325,E$318)-BH337)/((100-BH337)*AVERAGE(E$317,E$315,E$329,E$311,E$332,E$337,E$308,E$322,E$325,E$318)))</f>
        <v>41.382312361372676</v>
      </c>
      <c r="BV337" s="318">
        <v>7.25</v>
      </c>
      <c r="BW337" s="319">
        <v>48.8</v>
      </c>
      <c r="BX337" s="319">
        <v>550</v>
      </c>
      <c r="BY337" s="462">
        <f t="shared" si="404"/>
        <v>26.4</v>
      </c>
      <c r="BZ337" s="462">
        <f t="shared" si="405"/>
        <v>28.257575757575758</v>
      </c>
      <c r="CA337" s="348">
        <v>400</v>
      </c>
      <c r="CB337" s="348">
        <f t="shared" si="406"/>
        <v>43865.8</v>
      </c>
      <c r="CC337" s="334">
        <f t="shared" si="407"/>
        <v>588.75</v>
      </c>
      <c r="CD337" s="334">
        <f t="shared" si="408"/>
        <v>24.53125</v>
      </c>
      <c r="CE337" s="984">
        <f>CC337/(AVERAGE(BY336,BY337)*(AVERAGE(D$317,D$315,D$329,D$311,D$332,D$337,D$308,D$322,D$325,D$318))*AVERAGE(E$317,E$315,E$329,E$311,E$332,E$337,E$308,E$322,E$325,E$318)*0.0001)</f>
        <v>725.08813179668266</v>
      </c>
      <c r="CF337" s="441">
        <f>(CB337-CB331)/(AVERAGE(BY331:BY337)*((AVERAGE(D$317,D$315,D$329,D$311,D$332,D$304,D$308,D$322,D$325,D$318)*AVERAGE(E$317,E$315,E$329,E$311,E$332,E$337,E$308,E$322,E$325,E$318))-(BG337*BH337))*0.0001*(SUM(C331:C337)/24))</f>
        <v>1486.9194806605801</v>
      </c>
      <c r="CG337" s="441">
        <f>CC337/(AVERAGE(BY337)*AVERAGE((D$317,D$315,D$329,D$311,D$332,D$337,D$308,D$322,D$325,D$318))*0.01)</f>
        <v>649.42155980303914</v>
      </c>
      <c r="CH337" s="477">
        <f t="shared" si="297"/>
        <v>0.78920911528150139</v>
      </c>
      <c r="CI337" s="319">
        <v>69.400000000000006</v>
      </c>
      <c r="CJ337" s="319">
        <v>28.8</v>
      </c>
      <c r="CK337" s="319">
        <v>0</v>
      </c>
      <c r="CL337" s="319">
        <v>128</v>
      </c>
      <c r="CM337" s="319">
        <v>115</v>
      </c>
      <c r="CN337" s="442"/>
    </row>
    <row r="338" spans="1:112" ht="15">
      <c r="A338" s="378">
        <f t="shared" si="292"/>
        <v>41493</v>
      </c>
      <c r="B338" s="663">
        <v>0.45833333333333331</v>
      </c>
      <c r="C338" s="304">
        <f t="shared" si="351"/>
        <v>27.999999999999996</v>
      </c>
      <c r="D338" s="65"/>
      <c r="E338" s="66"/>
      <c r="F338" s="66"/>
      <c r="G338" s="66"/>
      <c r="H338" s="66"/>
      <c r="I338" s="66"/>
      <c r="J338" s="86"/>
      <c r="K338" s="86"/>
      <c r="L338" s="63"/>
      <c r="M338" s="86">
        <v>60</v>
      </c>
      <c r="N338" s="66">
        <v>80</v>
      </c>
      <c r="O338" s="265"/>
      <c r="P338" s="224">
        <v>700</v>
      </c>
      <c r="Q338" s="210">
        <f t="shared" si="409"/>
        <v>6.9665605095541396</v>
      </c>
      <c r="R338" s="225">
        <f t="shared" si="410"/>
        <v>23.144719300844319</v>
      </c>
      <c r="S338" s="86"/>
      <c r="T338" s="86"/>
      <c r="U338" s="232"/>
      <c r="V338" s="65"/>
      <c r="W338" s="66"/>
      <c r="X338" s="66"/>
      <c r="Y338" s="66"/>
      <c r="Z338" s="66"/>
      <c r="AA338" s="86"/>
      <c r="AB338" s="86"/>
      <c r="AC338" s="63"/>
      <c r="AD338" s="87"/>
      <c r="AE338" s="87"/>
      <c r="AF338" s="87"/>
      <c r="AG338" s="66"/>
      <c r="AH338" s="66"/>
      <c r="AI338" s="64"/>
      <c r="AJ338" s="63"/>
      <c r="AK338" s="65"/>
      <c r="AL338" s="66"/>
      <c r="AM338" s="66">
        <v>854</v>
      </c>
      <c r="AN338" s="853">
        <f t="shared" si="398"/>
        <v>36.288000000000004</v>
      </c>
      <c r="AO338" s="854">
        <f t="shared" si="399"/>
        <v>38.938492063492056</v>
      </c>
      <c r="AP338" s="72">
        <v>567</v>
      </c>
      <c r="AQ338" s="490">
        <f t="shared" si="336"/>
        <v>34035.637500000004</v>
      </c>
      <c r="AR338" s="76">
        <f t="shared" si="400"/>
        <v>982.79196428571811</v>
      </c>
      <c r="AS338" s="230">
        <f t="shared" si="401"/>
        <v>40.949665178571593</v>
      </c>
      <c r="AT338" s="208">
        <f>AR338/(AVERAGE(AN337,AN338)*(AVERAGE(D$317,D$315,D$329,D$311,D$332,D$337,D$308,D$322,D$325,D$318))*AVERAGE(E$317,E$315,E$329,E$311,E$332,E$337,E$308,E$322,E$325,E$318)*0.0001)</f>
        <v>1058.4592294293986</v>
      </c>
      <c r="AU338" s="585"/>
      <c r="AV338" s="230">
        <f t="shared" ref="AV338" si="411">AR338/(AVERAGE(AN338)*AVERAGE(D$317,D$315,D$329,D$311,D$332,D$337,D$308,D$322,D$325,D$318)*0.01)</f>
        <v>788.67536082089907</v>
      </c>
      <c r="AW338" s="855">
        <f t="shared" si="323"/>
        <v>0.69553571428571703</v>
      </c>
      <c r="AX338" s="66"/>
      <c r="AY338" s="66"/>
      <c r="AZ338" s="66"/>
      <c r="BA338" s="66"/>
      <c r="BB338" s="66"/>
      <c r="BC338" s="63"/>
      <c r="BD338" s="64"/>
      <c r="BE338" s="64"/>
      <c r="BF338" s="237"/>
      <c r="BG338" s="65"/>
      <c r="BH338" s="66"/>
      <c r="BI338" s="66"/>
      <c r="BJ338" s="66"/>
      <c r="BK338" s="66"/>
      <c r="BL338" s="86"/>
      <c r="BM338" s="86"/>
      <c r="BN338" s="63"/>
      <c r="BO338" s="87"/>
      <c r="BP338" s="87"/>
      <c r="BQ338" s="87"/>
      <c r="BR338" s="66"/>
      <c r="BS338" s="64"/>
      <c r="BT338" s="66"/>
      <c r="BU338" s="67"/>
      <c r="BV338" s="65"/>
      <c r="BW338" s="66"/>
      <c r="BX338" s="66">
        <v>571</v>
      </c>
      <c r="BY338" s="159">
        <f t="shared" si="404"/>
        <v>36.000000000000007</v>
      </c>
      <c r="BZ338" s="159">
        <f t="shared" si="405"/>
        <v>20.722222222222218</v>
      </c>
      <c r="CA338" s="76">
        <v>414</v>
      </c>
      <c r="CB338" s="490">
        <f t="shared" si="406"/>
        <v>44724.393750000003</v>
      </c>
      <c r="CC338" s="208">
        <f t="shared" si="407"/>
        <v>735.93750000000011</v>
      </c>
      <c r="CD338" s="208">
        <f t="shared" si="408"/>
        <v>30.664062500000004</v>
      </c>
      <c r="CE338" s="985">
        <f>CC338/(AVERAGE(BY337,BY338)*(AVERAGE(D$317,D$315,D$329,D$311,D$332,D$337,D$308,D$322,D$325,D$318))*AVERAGE(E$317,E$315,E$329,E$311,E$332,E$337,E$308,E$322,E$325,E$318)*0.0001)</f>
        <v>899.90460801689323</v>
      </c>
      <c r="CF338" s="346"/>
      <c r="CG338" s="180">
        <f>CC338/(AVERAGE(BY338)*AVERAGE((D$317,D$315,D$329,D$311,D$332,D$337,D$308,D$322,D$325,D$318))*0.01)</f>
        <v>595.30309648611922</v>
      </c>
      <c r="CH338" s="433">
        <f t="shared" si="297"/>
        <v>0.98651139410187683</v>
      </c>
      <c r="CI338" s="66"/>
      <c r="CJ338" s="66"/>
      <c r="CK338" s="66"/>
      <c r="CL338" s="66"/>
      <c r="CM338" s="66"/>
      <c r="CN338" s="110"/>
    </row>
    <row r="339" spans="1:112" s="337" customFormat="1">
      <c r="A339" s="309">
        <f t="shared" ref="A339:A402" si="412">A338+1</f>
        <v>41494</v>
      </c>
      <c r="B339" s="310">
        <v>0.4375</v>
      </c>
      <c r="C339" s="311">
        <f t="shared" si="351"/>
        <v>23.5</v>
      </c>
      <c r="D339" s="318">
        <v>2.9</v>
      </c>
      <c r="E339" s="319">
        <v>77.7</v>
      </c>
      <c r="F339" s="313">
        <v>39700</v>
      </c>
      <c r="G339" s="319"/>
      <c r="H339" s="319"/>
      <c r="I339" s="313">
        <v>4090</v>
      </c>
      <c r="J339" s="317"/>
      <c r="K339" s="317"/>
      <c r="L339" s="320"/>
      <c r="M339" s="317"/>
      <c r="N339" s="319"/>
      <c r="O339" s="472"/>
      <c r="P339" s="318"/>
      <c r="Q339" s="319"/>
      <c r="R339" s="332"/>
      <c r="S339" s="317"/>
      <c r="T339" s="317"/>
      <c r="U339" s="757"/>
      <c r="V339" s="318">
        <v>2.2000000000000002</v>
      </c>
      <c r="W339" s="319">
        <v>62.6</v>
      </c>
      <c r="X339" s="319">
        <v>23800</v>
      </c>
      <c r="Y339" s="319"/>
      <c r="Z339" s="319">
        <v>1612</v>
      </c>
      <c r="AA339" s="317"/>
      <c r="AB339" s="317"/>
      <c r="AC339" s="320"/>
      <c r="AD339" s="752">
        <f>D337*(100-E337)/(100-W339)</f>
        <v>1.4449197860962566</v>
      </c>
      <c r="AE339" s="753">
        <f>D337-V339</f>
        <v>0.59999999999999964</v>
      </c>
      <c r="AF339" s="864">
        <f>100*(AVERAGE(D$317,D$315,D$329,D$311,D$332,D$337,D$339,D$322,D$325,D$318)-V339)/AVERAGE(D$317,D$315,D$329,D$311,D$332,D$337,D$339,D$322,D$325,D$318)</f>
        <v>35.521688159437275</v>
      </c>
      <c r="AG339" s="864">
        <f>100*(1-((100-AVERAGE(E$317,E$315,E$329,E$311,E$332,E$337,E$339,E$322,E$325,E$318))/(100-W339)))</f>
        <v>37.521390374331574</v>
      </c>
      <c r="AH339" s="753">
        <f>E337-W339</f>
        <v>18.100000000000001</v>
      </c>
      <c r="AI339" s="847">
        <f>100*(1-((V339*W339)/(AVERAGE(D$317,D$315,D$329,D$311,D$332,D$337,D$339,D$322,D$325,D$318)*AVERAGE(E$317,E$315,E$329,E$311,E$332,E$337,E$339,E$322,E$325,E$318))))</f>
        <v>47.328927208653894</v>
      </c>
      <c r="AJ339" s="847">
        <f>100*100*((AVERAGE(E$317,E$315,E$329,E$311,E$332,E$337,E$339,E$322,E$325,E$318)-W339)/((100-W339)*AVERAGE(E$317,E$315,E$329,E$311,E$332,E$337,E$339,E$322,E$325,E$318)))</f>
        <v>48.96244486622156</v>
      </c>
      <c r="AK339" s="318"/>
      <c r="AL339" s="319"/>
      <c r="AM339" s="319">
        <v>896</v>
      </c>
      <c r="AN339" s="846">
        <f t="shared" si="398"/>
        <v>77.760000000000005</v>
      </c>
      <c r="AO339" s="847">
        <f t="shared" si="399"/>
        <v>18.171296296296294</v>
      </c>
      <c r="AP339" s="313">
        <v>588</v>
      </c>
      <c r="AQ339" s="490">
        <f t="shared" si="336"/>
        <v>35302.921875</v>
      </c>
      <c r="AR339" s="348">
        <f t="shared" si="400"/>
        <v>1294.2478723404211</v>
      </c>
      <c r="AS339" s="512">
        <f t="shared" si="401"/>
        <v>53.926994680850875</v>
      </c>
      <c r="AT339" s="334">
        <f>AR339/(AVERAGE(AN339)*(AVERAGE(D$317,D$315,D$329,D$311,D$332,D$337,D$339,D$322,D$325,D$318))*AVERAGE(E$317,E$315,E$329,E$311,E$332,E$337,E$339,E$322,E$325,E$318)*0.0001)</f>
        <v>636.55562150024161</v>
      </c>
      <c r="AU339" s="348">
        <f>(AQ339-AQ333)/(AVERAGE(AN333:AN339)*((AVERAGE(D$317,D$315,D$329,D$311,D$332,D$337,D$339,D$322,D$325,D$318)*AVERAGE(E$317,E$315,E$329,E$311,E$332,E$337,E$339,E$322,E$325,E$318))-(V339*W339))*0.0001*(SUM(C333:C339)/24))</f>
        <v>1399.0630858498855</v>
      </c>
      <c r="AV339" s="512">
        <f>AR339/(AVERAGE(AN339)*AVERAGE(D$317,D$315,D$329,D$311,D$332,D$337,D$339,D$322,D$325,D$318)*0.01)</f>
        <v>487.8116694242803</v>
      </c>
      <c r="AW339" s="848">
        <f t="shared" si="323"/>
        <v>0.91595744680850744</v>
      </c>
      <c r="AX339" s="319"/>
      <c r="AY339" s="319"/>
      <c r="AZ339" s="319"/>
      <c r="BA339" s="319"/>
      <c r="BB339" s="319"/>
      <c r="BC339" s="320" t="s">
        <v>164</v>
      </c>
      <c r="BD339" s="368"/>
      <c r="BE339" s="368"/>
      <c r="BF339" s="954"/>
      <c r="BG339" s="318">
        <v>2.2000000000000002</v>
      </c>
      <c r="BH339" s="319">
        <v>63</v>
      </c>
      <c r="BI339" s="319">
        <v>23700</v>
      </c>
      <c r="BJ339" s="319"/>
      <c r="BK339" s="319">
        <v>2904</v>
      </c>
      <c r="BL339" s="317"/>
      <c r="BM339" s="317"/>
      <c r="BN339" s="320"/>
      <c r="BO339" s="859">
        <f>D337*(100-E337)/(100-BH339)</f>
        <v>1.4605405405405403</v>
      </c>
      <c r="BP339" s="753">
        <f>D337-BG339</f>
        <v>0.59999999999999964</v>
      </c>
      <c r="BQ339" s="860">
        <f>100*(AVERAGE(D$317,D$315,D$329,D$311,D$332,D$337,D$339,D$322,D$325,D$318)-BG339)/AVERAGE(D$317,D$315,D$329,D$311,D$332,D$337,D$339,D$322,D$325,D$318)</f>
        <v>35.521688159437275</v>
      </c>
      <c r="BR339" s="861">
        <f>100*(1-((100-AVERAGE(E$317,E$315,E$329,E$311,E$332,E$337,E$339,E$322,E$325,E$318))/(100-BH339)))</f>
        <v>36.845945945945971</v>
      </c>
      <c r="BS339" s="858">
        <f>E337-BH339</f>
        <v>17.700000000000003</v>
      </c>
      <c r="BT339" s="862">
        <f>100*(1-((BG339*BH339)/(AVERAGE(D$317,D$315,D$329,D$311,D$332,D$337,D$339,D$322,D$325,D$318)*AVERAGE(E$317,E$315,E$329,E$311,E$332,E$337,E$339,E$322,E$325,E$318))))</f>
        <v>46.992370832990339</v>
      </c>
      <c r="BU339" s="863">
        <f>100*100*((AVERAGE(E$317,E$315,E$329,E$311,E$332,E$337,E$339,E$322,E$325,E$318)-BH339)/((100-BH339)*AVERAGE(E$317,E$315,E$329,E$311,E$332,E$337,E$339,E$322,E$325,E$318)))</f>
        <v>48.081043344180664</v>
      </c>
      <c r="BV339" s="318"/>
      <c r="BW339" s="319"/>
      <c r="BX339" s="319">
        <v>587</v>
      </c>
      <c r="BY339" s="462">
        <f t="shared" si="404"/>
        <v>32.680851063829792</v>
      </c>
      <c r="BZ339" s="462">
        <f t="shared" si="405"/>
        <v>22.826822916666664</v>
      </c>
      <c r="CA339" s="348">
        <v>423</v>
      </c>
      <c r="CB339" s="348">
        <f t="shared" si="406"/>
        <v>45276.346875000003</v>
      </c>
      <c r="CC339" s="334">
        <f t="shared" si="407"/>
        <v>563.69680851063833</v>
      </c>
      <c r="CD339" s="334">
        <f t="shared" si="408"/>
        <v>23.487367021276597</v>
      </c>
      <c r="CE339" s="984">
        <f>CC339/(AVERAGE(BY338,BY339)*(AVERAGE(D$317,D$315,D$329,D$311,D$332,D$337,D$339,D$322,D$325,D$318))*AVERAGE(E$317,E$315,E$329,E$311,E$332,E$337,E$339,E$322,E$325,E$318)*0.0001)</f>
        <v>627.79095399179505</v>
      </c>
      <c r="CF339" s="441">
        <f>(CB339-CB333)/(AVERAGE(BY333:BY339)*((AVERAGE(D$317,D$315,D$329,D$311,D$332,D$337,D$339,D$322,D$325,D$318)*AVERAGE(E$317,E$315,E$329,E$311,E$332,E$337,E$339,E$322,E$325,E$318))-(BG339*BH339))*0.0001*(SUM(C333:C339)/24))</f>
        <v>1532.534555765038</v>
      </c>
      <c r="CG339" s="441">
        <f>CC339/(AVERAGE(BY339)*AVERAGE((D$317,D$315,D$329,D$311,D$332,D$337,D$339,D$322,D$325,D$318))*0.01)</f>
        <v>505.52564936254402</v>
      </c>
      <c r="CH339" s="477">
        <f t="shared" si="297"/>
        <v>0.75562574867377796</v>
      </c>
      <c r="CI339" s="319"/>
      <c r="CJ339" s="319"/>
      <c r="CK339" s="319"/>
      <c r="CL339" s="319"/>
      <c r="CM339" s="319"/>
      <c r="CN339" s="442"/>
    </row>
    <row r="340" spans="1:112" ht="15.75" thickBot="1">
      <c r="A340" s="378">
        <f t="shared" si="292"/>
        <v>41495</v>
      </c>
      <c r="B340" s="663">
        <v>0.45833333333333331</v>
      </c>
      <c r="C340" s="304">
        <f t="shared" ref="C340:C375" si="413">((A340-A339)+(B340-B339))*24</f>
        <v>24.5</v>
      </c>
      <c r="D340" s="97"/>
      <c r="E340" s="98"/>
      <c r="F340" s="98"/>
      <c r="G340" s="98"/>
      <c r="H340" s="98"/>
      <c r="I340" s="98"/>
      <c r="J340" s="157"/>
      <c r="K340" s="157"/>
      <c r="L340" s="99"/>
      <c r="M340" s="157">
        <v>50</v>
      </c>
      <c r="N340" s="98">
        <v>90</v>
      </c>
      <c r="O340" s="268"/>
      <c r="P340" s="238">
        <v>1400</v>
      </c>
      <c r="Q340" s="210">
        <f t="shared" ref="Q340" si="414">P340/((N340-M340)*N$4)</f>
        <v>6.9665605095541396</v>
      </c>
      <c r="R340" s="225">
        <f t="shared" ref="R340" si="415">10*Q340/(AVERAGE(D$261,D$262))</f>
        <v>23.144719300844319</v>
      </c>
      <c r="S340" s="157"/>
      <c r="T340" s="157"/>
      <c r="U340" s="236"/>
      <c r="V340" s="97"/>
      <c r="W340" s="98"/>
      <c r="X340" s="98"/>
      <c r="Y340" s="98"/>
      <c r="Z340" s="98"/>
      <c r="AA340" s="157"/>
      <c r="AB340" s="157"/>
      <c r="AC340" s="99"/>
      <c r="AD340" s="158"/>
      <c r="AE340" s="158"/>
      <c r="AF340" s="158"/>
      <c r="AG340" s="98"/>
      <c r="AH340" s="98"/>
      <c r="AI340" s="156"/>
      <c r="AJ340" s="99"/>
      <c r="AK340" s="97"/>
      <c r="AL340" s="98"/>
      <c r="AM340" s="98">
        <v>924</v>
      </c>
      <c r="AN340" s="853">
        <f t="shared" si="398"/>
        <v>61.766808510638306</v>
      </c>
      <c r="AO340" s="854">
        <f t="shared" si="399"/>
        <v>22.876364087301585</v>
      </c>
      <c r="AP340" s="81">
        <v>610</v>
      </c>
      <c r="AQ340" s="490">
        <f t="shared" si="336"/>
        <v>36630.553125000006</v>
      </c>
      <c r="AR340" s="76">
        <f t="shared" si="400"/>
        <v>1300.5367346938833</v>
      </c>
      <c r="AS340" s="230">
        <f t="shared" si="401"/>
        <v>54.189030612245134</v>
      </c>
      <c r="AT340" s="208">
        <f t="shared" ref="AT340:AT343" si="416">AR340/(AVERAGE(AN340)*(AVERAGE(D$317,D$315,D$329,D$311,D$332,D$337,D$339,D$322,D$325,D$318))*AVERAGE(E$317,E$315,E$329,E$311,E$332,E$337,E$339,E$322,E$325,E$318)*0.0001)</f>
        <v>805.27202451241635</v>
      </c>
      <c r="AU340" s="585"/>
      <c r="AV340" s="230">
        <f t="shared" ref="AV340:AV343" si="417">AR340/(AVERAGE(AN340)*AVERAGE(D$317,D$315,D$329,D$311,D$332,D$337,D$339,D$322,D$325,D$318)*0.01)</f>
        <v>617.10411054460019</v>
      </c>
      <c r="AW340" s="855">
        <f t="shared" si="323"/>
        <v>0.92040816326531016</v>
      </c>
      <c r="AX340" s="98"/>
      <c r="AY340" s="98"/>
      <c r="AZ340" s="98"/>
      <c r="BA340" s="98"/>
      <c r="BB340" s="98"/>
      <c r="BC340" s="99"/>
      <c r="BD340" s="156"/>
      <c r="BE340" s="156"/>
      <c r="BF340" s="239"/>
      <c r="BG340" s="97"/>
      <c r="BH340" s="98"/>
      <c r="BI340" s="98"/>
      <c r="BJ340" s="98"/>
      <c r="BK340" s="98"/>
      <c r="BL340" s="157"/>
      <c r="BM340" s="157"/>
      <c r="BN340" s="99"/>
      <c r="BO340" s="158"/>
      <c r="BP340" s="158"/>
      <c r="BQ340" s="158"/>
      <c r="BR340" s="98"/>
      <c r="BS340" s="156"/>
      <c r="BT340" s="98"/>
      <c r="BU340" s="100"/>
      <c r="BV340" s="97"/>
      <c r="BW340" s="98"/>
      <c r="BX340" s="98">
        <v>603</v>
      </c>
      <c r="BY340" s="159">
        <f t="shared" si="404"/>
        <v>31.346938775510207</v>
      </c>
      <c r="BZ340" s="159">
        <f t="shared" si="405"/>
        <v>23.798177083333332</v>
      </c>
      <c r="CA340" s="199">
        <v>432</v>
      </c>
      <c r="CB340" s="490">
        <f t="shared" si="406"/>
        <v>45828.3</v>
      </c>
      <c r="CC340" s="208">
        <f t="shared" si="407"/>
        <v>540.6887755102041</v>
      </c>
      <c r="CD340" s="208">
        <f t="shared" si="408"/>
        <v>22.528698979591837</v>
      </c>
      <c r="CE340" s="985">
        <f>CC340/(AVERAGE(BY339,BY340)*(AVERAGE(D$317,D$315,D$329,D$311,D$332,D$337,D$339,D$322,D$325,D$318))*AVERAGE(E$317,E$315,E$329,E$311,E$332,E$337,E$339,E$322,E$325,E$318)*0.0001)</f>
        <v>645.92781830389538</v>
      </c>
      <c r="CF340" s="346"/>
      <c r="CG340" s="180">
        <f>CC340/(AVERAGE(BY340)*AVERAGE((D$317,D$315,D$329,D$311,D$332,D$337,D$339,D$322,D$325,D$318))*0.01)</f>
        <v>505.5256493625439</v>
      </c>
      <c r="CH340" s="433">
        <f t="shared" si="297"/>
        <v>0.72478388138097061</v>
      </c>
      <c r="CI340" s="98"/>
      <c r="CJ340" s="98"/>
      <c r="CK340" s="98"/>
      <c r="CL340" s="98"/>
      <c r="CM340" s="98"/>
      <c r="CN340" s="63" t="s">
        <v>164</v>
      </c>
    </row>
    <row r="341" spans="1:112" s="133" customFormat="1">
      <c r="A341" s="378">
        <f t="shared" si="412"/>
        <v>41496</v>
      </c>
      <c r="B341" s="663">
        <v>0.33333333333333098</v>
      </c>
      <c r="C341" s="304">
        <f t="shared" si="413"/>
        <v>20.999999999999943</v>
      </c>
      <c r="D341" s="240"/>
      <c r="E341" s="241"/>
      <c r="F341" s="241"/>
      <c r="G341" s="241"/>
      <c r="H341" s="220"/>
      <c r="I341" s="220"/>
      <c r="J341" s="243"/>
      <c r="K341" s="243"/>
      <c r="L341" s="221"/>
      <c r="M341" s="243"/>
      <c r="N341" s="220"/>
      <c r="O341" s="269"/>
      <c r="P341" s="219"/>
      <c r="Q341" s="220"/>
      <c r="R341" s="242"/>
      <c r="S341" s="243"/>
      <c r="T341" s="243"/>
      <c r="U341" s="244"/>
      <c r="V341" s="219"/>
      <c r="W341" s="220"/>
      <c r="X341" s="220"/>
      <c r="Y341" s="220"/>
      <c r="Z341" s="220"/>
      <c r="AA341" s="243"/>
      <c r="AB341" s="243"/>
      <c r="AC341" s="221"/>
      <c r="AD341" s="93"/>
      <c r="AE341" s="220"/>
      <c r="AF341" s="220"/>
      <c r="AG341" s="245"/>
      <c r="AH341" s="220"/>
      <c r="AI341" s="220"/>
      <c r="AJ341" s="245"/>
      <c r="AK341" s="219"/>
      <c r="AL341" s="220">
        <v>35.299999999999997</v>
      </c>
      <c r="AM341" s="220">
        <v>946</v>
      </c>
      <c r="AN341" s="853">
        <f t="shared" ref="AN341:AN358" si="418">(AM341-AM340)*AQ$1/((C340)/24)</f>
        <v>46.550204081632657</v>
      </c>
      <c r="AO341" s="854">
        <f t="shared" ref="AO341:AO358" si="419">AQ$3/AN341</f>
        <v>30.354324494949491</v>
      </c>
      <c r="AP341" s="223">
        <v>625</v>
      </c>
      <c r="AQ341" s="490">
        <f t="shared" si="336"/>
        <v>37535.756250000006</v>
      </c>
      <c r="AR341" s="76">
        <f t="shared" ref="AR341:AR361" si="420">(AQ341-AQ340)/(C341/24)</f>
        <v>1034.5178571428598</v>
      </c>
      <c r="AS341" s="230">
        <f t="shared" ref="AS341:AS361" si="421">(AQ341-AQ340)/C341</f>
        <v>43.104910714285829</v>
      </c>
      <c r="AT341" s="208">
        <f t="shared" si="416"/>
        <v>849.94642643498685</v>
      </c>
      <c r="AU341" s="585"/>
      <c r="AV341" s="230">
        <f t="shared" si="417"/>
        <v>651.33944496992365</v>
      </c>
      <c r="AW341" s="855">
        <f t="shared" si="323"/>
        <v>0.73214285714285909</v>
      </c>
      <c r="AX341" s="220"/>
      <c r="AY341" s="220"/>
      <c r="AZ341" s="220"/>
      <c r="BA341" s="220"/>
      <c r="BB341" s="220"/>
      <c r="BC341" s="221"/>
      <c r="BD341" s="218"/>
      <c r="BE341" s="218"/>
      <c r="BF341" s="246"/>
      <c r="BG341" s="219"/>
      <c r="BH341" s="220"/>
      <c r="BI341" s="220"/>
      <c r="BJ341" s="220"/>
      <c r="BK341" s="220"/>
      <c r="BL341" s="243"/>
      <c r="BM341" s="243"/>
      <c r="BN341" s="221"/>
      <c r="BO341" s="222"/>
      <c r="BP341" s="222"/>
      <c r="BQ341" s="222"/>
      <c r="BR341" s="220"/>
      <c r="BS341" s="218"/>
      <c r="BT341" s="220"/>
      <c r="BU341" s="242"/>
      <c r="BV341" s="219"/>
      <c r="BW341" s="220">
        <v>50.7</v>
      </c>
      <c r="BX341" s="220">
        <v>616</v>
      </c>
      <c r="BY341" s="159">
        <f t="shared" ref="BY341:BY358" si="422">(BX341-BX340)*CB$1/((C341)/24)</f>
        <v>29.714285714285793</v>
      </c>
      <c r="BZ341" s="159">
        <f t="shared" ref="BZ341:BZ358" si="423">CB$3/BY341</f>
        <v>25.105769230769162</v>
      </c>
      <c r="CA341" s="223">
        <v>439</v>
      </c>
      <c r="CB341" s="490">
        <f t="shared" ref="CB341:CB361" si="424">((CA341-CA$55)*CB$2)+CB$55</f>
        <v>46257.596875000003</v>
      </c>
      <c r="CC341" s="208">
        <f t="shared" ref="CC341:CC361" si="425">(CB341-CB340)/((C341/24))</f>
        <v>490.62500000000131</v>
      </c>
      <c r="CD341" s="208">
        <f t="shared" ref="CD341:CD361" si="426">(CB341-CB340)/(C341)</f>
        <v>20.442708333333389</v>
      </c>
      <c r="CE341" s="985">
        <f>CC341/(AVERAGE(BY340,BY341)*(AVERAGE(D$317,D$315,D$329,D$311,D$332,D$337,D$339,D$322,D$325,D$318))*AVERAGE(E$317,E$315,E$329,E$311,E$332,E$337,E$339,E$322,E$325,E$318)*0.0001)</f>
        <v>614.59540735040582</v>
      </c>
      <c r="CF341" s="346"/>
      <c r="CG341" s="180">
        <f>CC341/(AVERAGE(BY341)*AVERAGE((D$317,D$315,D$329,D$311,D$332,D$337,D$339,D$322,D$325,D$318))*0.01)</f>
        <v>483.9219891333754</v>
      </c>
      <c r="CH341" s="433">
        <f t="shared" ref="CH341:CH404" si="427">CC341/CB$3</f>
        <v>0.65767426273458618</v>
      </c>
      <c r="CI341" s="220"/>
      <c r="CJ341" s="220"/>
      <c r="CK341" s="220"/>
      <c r="CL341" s="220"/>
      <c r="CM341" s="220"/>
      <c r="CN341" s="132"/>
    </row>
    <row r="342" spans="1:112" ht="15">
      <c r="A342" s="378">
        <f t="shared" si="412"/>
        <v>41497</v>
      </c>
      <c r="B342" s="663">
        <v>0.33333333333333098</v>
      </c>
      <c r="C342" s="304">
        <f t="shared" si="413"/>
        <v>24</v>
      </c>
      <c r="D342" s="65"/>
      <c r="E342" s="66"/>
      <c r="F342" s="66"/>
      <c r="G342" s="66"/>
      <c r="H342" s="66"/>
      <c r="I342" s="66"/>
      <c r="J342" s="86"/>
      <c r="K342" s="86"/>
      <c r="L342" s="63"/>
      <c r="M342" s="86">
        <v>55</v>
      </c>
      <c r="N342" s="66">
        <v>85</v>
      </c>
      <c r="O342" s="265"/>
      <c r="P342" s="224">
        <v>1050</v>
      </c>
      <c r="Q342" s="210">
        <f t="shared" ref="Q342" si="428">P342/((N342-M342)*N$4)</f>
        <v>6.9665605095541405</v>
      </c>
      <c r="R342" s="225">
        <f t="shared" ref="R342" si="429">10*Q342/(AVERAGE(D$261,D$262))</f>
        <v>23.144719300844322</v>
      </c>
      <c r="S342" s="86"/>
      <c r="T342" s="86"/>
      <c r="U342" s="232"/>
      <c r="V342" s="247"/>
      <c r="W342" s="248"/>
      <c r="X342" s="66"/>
      <c r="Y342" s="66"/>
      <c r="Z342" s="66"/>
      <c r="AA342" s="86"/>
      <c r="AB342" s="86"/>
      <c r="AC342" s="63"/>
      <c r="AD342" s="87"/>
      <c r="AE342" s="87"/>
      <c r="AF342" s="87"/>
      <c r="AG342" s="66"/>
      <c r="AH342" s="66"/>
      <c r="AI342" s="64"/>
      <c r="AJ342" s="63"/>
      <c r="AK342" s="65"/>
      <c r="AL342" s="66">
        <v>35.4</v>
      </c>
      <c r="AM342" s="66">
        <v>974</v>
      </c>
      <c r="AN342" s="853">
        <f t="shared" si="418"/>
        <v>69.120000000000189</v>
      </c>
      <c r="AO342" s="854">
        <f t="shared" si="419"/>
        <v>20.442708333333279</v>
      </c>
      <c r="AP342" s="72">
        <v>643</v>
      </c>
      <c r="AQ342" s="490">
        <f t="shared" si="336"/>
        <v>38622</v>
      </c>
      <c r="AR342" s="76">
        <f t="shared" si="420"/>
        <v>1086.2437499999942</v>
      </c>
      <c r="AS342" s="230">
        <f t="shared" si="421"/>
        <v>45.26015624999976</v>
      </c>
      <c r="AT342" s="208">
        <f t="shared" si="416"/>
        <v>601.03354440759153</v>
      </c>
      <c r="AU342" s="585"/>
      <c r="AV342" s="230">
        <f t="shared" si="417"/>
        <v>460.59003608586966</v>
      </c>
      <c r="AW342" s="855">
        <f t="shared" si="323"/>
        <v>0.76874999999999583</v>
      </c>
      <c r="AX342" s="66"/>
      <c r="AY342" s="66"/>
      <c r="AZ342" s="66"/>
      <c r="BA342" s="66"/>
      <c r="BB342" s="66"/>
      <c r="BC342" s="63"/>
      <c r="BD342" s="64"/>
      <c r="BE342" s="64"/>
      <c r="BF342" s="233"/>
      <c r="BG342" s="247"/>
      <c r="BH342" s="248"/>
      <c r="BI342" s="66"/>
      <c r="BJ342" s="66"/>
      <c r="BK342" s="66"/>
      <c r="BL342" s="86"/>
      <c r="BM342" s="86"/>
      <c r="BN342" s="63"/>
      <c r="BO342" s="87"/>
      <c r="BP342" s="87"/>
      <c r="BQ342" s="87"/>
      <c r="BR342" s="66"/>
      <c r="BS342" s="64"/>
      <c r="BT342" s="66"/>
      <c r="BU342" s="67"/>
      <c r="BV342" s="65"/>
      <c r="BW342" s="66">
        <v>50.5</v>
      </c>
      <c r="BX342" s="66">
        <v>632</v>
      </c>
      <c r="BY342" s="159">
        <f t="shared" si="422"/>
        <v>32</v>
      </c>
      <c r="BZ342" s="159">
        <f t="shared" si="423"/>
        <v>23.3125</v>
      </c>
      <c r="CA342" s="76">
        <v>447</v>
      </c>
      <c r="CB342" s="490">
        <f t="shared" si="424"/>
        <v>46748.221875000003</v>
      </c>
      <c r="CC342" s="208">
        <f t="shared" si="425"/>
        <v>490.625</v>
      </c>
      <c r="CD342" s="208">
        <f t="shared" si="426"/>
        <v>20.442708333333332</v>
      </c>
      <c r="CE342" s="985">
        <f>CC342/(AVERAGE(BY341,BY342)*(AVERAGE(D$317,D$315,D$329,D$311,D$332,D$337,D$339,D$322,D$325,D$318))*AVERAGE(E$317,E$315,E$329,E$311,E$332,E$337,E$339,E$322,E$325,E$318)*0.0001)</f>
        <v>608.09175224616718</v>
      </c>
      <c r="CF342" s="346"/>
      <c r="CG342" s="180">
        <f>CC342/(AVERAGE(BY342)*AVERAGE((D$317,D$315,D$329,D$311,D$332,D$337,D$339,D$322,D$325,D$318))*0.01)</f>
        <v>449.3561327667058</v>
      </c>
      <c r="CH342" s="433">
        <f t="shared" si="427"/>
        <v>0.6576742627345844</v>
      </c>
      <c r="CI342" s="66"/>
      <c r="CJ342" s="66"/>
      <c r="CK342" s="66"/>
      <c r="CL342" s="66"/>
      <c r="CM342" s="66"/>
      <c r="CN342" s="110"/>
    </row>
    <row r="343" spans="1:112" ht="15">
      <c r="A343" s="378">
        <f t="shared" si="412"/>
        <v>41498</v>
      </c>
      <c r="B343" s="663">
        <v>0.33333333333333098</v>
      </c>
      <c r="C343" s="304">
        <f t="shared" si="413"/>
        <v>24</v>
      </c>
      <c r="D343" s="65"/>
      <c r="E343" s="66"/>
      <c r="F343" s="66"/>
      <c r="G343" s="66"/>
      <c r="H343" s="66"/>
      <c r="I343" s="66"/>
      <c r="J343" s="86"/>
      <c r="K343" s="86"/>
      <c r="L343" s="63"/>
      <c r="M343" s="86"/>
      <c r="N343" s="66"/>
      <c r="O343" s="265"/>
      <c r="P343" s="224"/>
      <c r="Q343" s="210"/>
      <c r="R343" s="225"/>
      <c r="S343" s="86"/>
      <c r="T343" s="86"/>
      <c r="U343" s="232"/>
      <c r="V343" s="65"/>
      <c r="W343" s="66"/>
      <c r="X343" s="66"/>
      <c r="Y343" s="66"/>
      <c r="Z343" s="66"/>
      <c r="AA343" s="86"/>
      <c r="AB343" s="86"/>
      <c r="AC343" s="63"/>
      <c r="AD343" s="87"/>
      <c r="AE343" s="87"/>
      <c r="AF343" s="87"/>
      <c r="AG343" s="66"/>
      <c r="AH343" s="66"/>
      <c r="AI343" s="64"/>
      <c r="AJ343" s="63"/>
      <c r="AK343" s="65"/>
      <c r="AL343" s="66">
        <v>35.200000000000003</v>
      </c>
      <c r="AM343" s="66">
        <v>1002</v>
      </c>
      <c r="AN343" s="853">
        <f t="shared" si="418"/>
        <v>60.480000000000004</v>
      </c>
      <c r="AO343" s="854">
        <f t="shared" si="419"/>
        <v>23.363095238095237</v>
      </c>
      <c r="AP343" s="72">
        <v>661</v>
      </c>
      <c r="AQ343" s="490">
        <f t="shared" si="336"/>
        <v>39708.243750000001</v>
      </c>
      <c r="AR343" s="76">
        <f t="shared" si="420"/>
        <v>1086.2437500000015</v>
      </c>
      <c r="AS343" s="230">
        <f t="shared" si="421"/>
        <v>45.260156250000058</v>
      </c>
      <c r="AT343" s="208">
        <f t="shared" si="416"/>
        <v>686.89547932296807</v>
      </c>
      <c r="AU343" s="585"/>
      <c r="AV343" s="230">
        <f t="shared" si="417"/>
        <v>526.38861266957019</v>
      </c>
      <c r="AW343" s="855">
        <f t="shared" si="323"/>
        <v>0.76875000000000104</v>
      </c>
      <c r="AX343" s="66"/>
      <c r="AY343" s="66"/>
      <c r="AZ343" s="66"/>
      <c r="BA343" s="66"/>
      <c r="BB343" s="66"/>
      <c r="BC343" s="63"/>
      <c r="BD343" s="64"/>
      <c r="BE343" s="64"/>
      <c r="BF343" s="233"/>
      <c r="BG343" s="65"/>
      <c r="BH343" s="66"/>
      <c r="BI343" s="66"/>
      <c r="BJ343" s="66"/>
      <c r="BK343" s="66"/>
      <c r="BL343" s="86"/>
      <c r="BM343" s="86"/>
      <c r="BN343" s="63"/>
      <c r="BO343" s="87"/>
      <c r="BP343" s="87"/>
      <c r="BQ343" s="87"/>
      <c r="BR343" s="66"/>
      <c r="BS343" s="64"/>
      <c r="BT343" s="66"/>
      <c r="BU343" s="67"/>
      <c r="BV343" s="65"/>
      <c r="BW343" s="66">
        <v>50.6</v>
      </c>
      <c r="BX343" s="66">
        <v>648</v>
      </c>
      <c r="BY343" s="159">
        <f t="shared" si="422"/>
        <v>32</v>
      </c>
      <c r="BZ343" s="159">
        <f t="shared" si="423"/>
        <v>23.3125</v>
      </c>
      <c r="CA343" s="76">
        <v>455</v>
      </c>
      <c r="CB343" s="490">
        <f t="shared" si="424"/>
        <v>47238.846875000003</v>
      </c>
      <c r="CC343" s="208">
        <f t="shared" si="425"/>
        <v>490.625</v>
      </c>
      <c r="CD343" s="208">
        <f t="shared" si="426"/>
        <v>20.442708333333332</v>
      </c>
      <c r="CE343" s="985">
        <f>CC343/(AVERAGE(BY342,BY343)*(AVERAGE(D$317,D$315,D$329,D$311,D$332,D$337,D$339,D$322,D$325,D$318))*AVERAGE(E$317,E$315,E$329,E$311,E$332,E$337,E$339,E$322,E$325,E$318)*0.0001)</f>
        <v>586.37418966594771</v>
      </c>
      <c r="CF343" s="180"/>
      <c r="CG343" s="180">
        <f>CC343/(AVERAGE(BY343)*AVERAGE((D$317,D$315,D$329,D$311,D$332,D$337,D$339,D$322,D$325,D$318))*0.01)</f>
        <v>449.3561327667058</v>
      </c>
      <c r="CH343" s="433">
        <f t="shared" si="427"/>
        <v>0.6576742627345844</v>
      </c>
      <c r="CI343" s="66"/>
      <c r="CJ343" s="66"/>
      <c r="CK343" s="66"/>
      <c r="CL343" s="66"/>
      <c r="CM343" s="66"/>
      <c r="CN343" s="110"/>
    </row>
    <row r="344" spans="1:112" s="337" customFormat="1">
      <c r="A344" s="309">
        <f t="shared" si="412"/>
        <v>41499</v>
      </c>
      <c r="B344" s="310">
        <v>0.33333333333333098</v>
      </c>
      <c r="C344" s="311">
        <f t="shared" si="413"/>
        <v>24</v>
      </c>
      <c r="D344" s="339">
        <v>3.22</v>
      </c>
      <c r="E344" s="365">
        <v>75.61</v>
      </c>
      <c r="F344" s="319"/>
      <c r="G344" s="319">
        <v>6.08</v>
      </c>
      <c r="H344" s="319"/>
      <c r="I344" s="319"/>
      <c r="J344" s="317"/>
      <c r="K344" s="317"/>
      <c r="L344" s="320"/>
      <c r="M344" s="317"/>
      <c r="N344" s="319"/>
      <c r="O344" s="472"/>
      <c r="P344" s="318"/>
      <c r="Q344" s="319"/>
      <c r="R344" s="332"/>
      <c r="S344" s="317"/>
      <c r="T344" s="317"/>
      <c r="U344" s="757"/>
      <c r="V344" s="339">
        <v>2.06</v>
      </c>
      <c r="W344" s="365">
        <v>64.69</v>
      </c>
      <c r="X344" s="319"/>
      <c r="Y344" s="319"/>
      <c r="Z344" s="319"/>
      <c r="AA344" s="317"/>
      <c r="AB344" s="317"/>
      <c r="AC344" s="320"/>
      <c r="AD344" s="752">
        <f>D339*(100-E339)/(100-W344)</f>
        <v>1.8314924950438964</v>
      </c>
      <c r="AE344" s="753">
        <f>D339-V344</f>
        <v>0.83999999999999986</v>
      </c>
      <c r="AF344" s="864">
        <f>100*(AVERAGE(D$317,D$315,D$329,D$344,D$332,D$337,D$339,D$322,D$325,D$318)-V344)/AVERAGE(D$317,D$315,D$329,D$344,D$332,D$337,D$339,D$322,D$325,D$318)</f>
        <v>40.011648223645892</v>
      </c>
      <c r="AG344" s="864">
        <f>100*(1-((100-AVERAGE(E$317,E$315,E$329,E$344,E$332,E$337,E$339,E$322,E$325,E$318))/(100-W344)))</f>
        <v>34.194279241008211</v>
      </c>
      <c r="AH344" s="753">
        <f>E339-W344</f>
        <v>13.010000000000005</v>
      </c>
      <c r="AI344" s="847">
        <f>100*(1-((V344*W344)/(AVERAGE(D$317,D$315,D$329,D$344,D$332,D$337,D$339,D$322,D$325,D$318)*AVERAGE(E$317,E$315,E$329,E$344,E$332,E$337,E$339,E$322,E$325,E$318))))</f>
        <v>49.447052310818243</v>
      </c>
      <c r="AJ344" s="847">
        <f>100*100*((AVERAGE(E$317,E$315,E$329,E$344,E$332,E$337,E$339,E$322,E$325,E$318)-W344)/((100-W344)*AVERAGE(E$317,E$315,E$329,E$344,E$332,E$337,E$339,E$322,E$325,E$318)))</f>
        <v>44.544681414475797</v>
      </c>
      <c r="AK344" s="318">
        <v>7.11</v>
      </c>
      <c r="AL344" s="319">
        <v>35.200000000000003</v>
      </c>
      <c r="AM344" s="452">
        <v>1030</v>
      </c>
      <c r="AN344" s="847">
        <f t="shared" si="418"/>
        <v>60.480000000000004</v>
      </c>
      <c r="AO344" s="847">
        <f t="shared" si="419"/>
        <v>23.363095238095237</v>
      </c>
      <c r="AP344" s="441">
        <v>677</v>
      </c>
      <c r="AQ344" s="490">
        <f t="shared" si="336"/>
        <v>40673.793750000004</v>
      </c>
      <c r="AR344" s="348">
        <f t="shared" si="420"/>
        <v>965.55000000000291</v>
      </c>
      <c r="AS344" s="512">
        <f t="shared" si="421"/>
        <v>40.231250000000124</v>
      </c>
      <c r="AT344" s="334">
        <f>AR344/(AVERAGE(AN344)*(AVERAGE(D$317,D$315,D$329,D$344,D$332,D$337,D$339,D$322,D$325,D$318))*AVERAGE(E$317,E$315,E$329,E$344,E$332,E$337,E$339,E$322,E$325,E$318)*0.0001)</f>
        <v>605.62681802558643</v>
      </c>
      <c r="AU344" s="348">
        <f>(AQ344-AQ338)/(AVERAGE(AN338:AN344)*((AVERAGE(D$317,D$315,D$329,D$344,D$332,D$337,D$339,D$322,D$325,D$318)*AVERAGE(E$317,E$315,E$329,E$344,E$332,E$337,E$339,E$322,E$325,E$318))-(V344*W344))*0.0001*(SUM(C338:C344)/24))</f>
        <v>1227.4553319371976</v>
      </c>
      <c r="AV344" s="512">
        <f>AR344/(AVERAGE(AN344)*AVERAGE(D$317,D$315,D$329,D$344,D$332,D$337,D$339,D$322,D$325,D$318)*0.01)</f>
        <v>464.90337058916111</v>
      </c>
      <c r="AW344" s="848">
        <f t="shared" si="323"/>
        <v>0.68333333333333535</v>
      </c>
      <c r="AX344" s="319">
        <v>69.099999999999994</v>
      </c>
      <c r="AY344" s="319">
        <v>28.3</v>
      </c>
      <c r="AZ344" s="319">
        <v>0</v>
      </c>
      <c r="BA344" s="319">
        <v>90</v>
      </c>
      <c r="BB344" s="319">
        <v>70</v>
      </c>
      <c r="BC344" s="320"/>
      <c r="BD344" s="368"/>
      <c r="BE344" s="368"/>
      <c r="BF344" s="471"/>
      <c r="BG344" s="339">
        <v>2.27</v>
      </c>
      <c r="BH344" s="365">
        <v>62.67</v>
      </c>
      <c r="BI344" s="319"/>
      <c r="BJ344" s="319"/>
      <c r="BK344" s="319"/>
      <c r="BL344" s="317"/>
      <c r="BM344" s="317"/>
      <c r="BN344" s="320"/>
      <c r="BO344" s="859">
        <f>D339*(100-E339)/(100-BH344)</f>
        <v>1.732386820251808</v>
      </c>
      <c r="BP344" s="753">
        <f>D339-BG344</f>
        <v>0.62999999999999989</v>
      </c>
      <c r="BQ344" s="860">
        <f>100*(AVERAGE(D$317,D$315,D$329,D$344,D$332,D$337,D$339,D$322,D$325,D$318)-BG344)/AVERAGE(D$317,D$315,D$329,D$344,D$332,D$337,D$339,D$322,D$325,D$318)</f>
        <v>33.896330809551543</v>
      </c>
      <c r="BR344" s="861">
        <f>100*(1-((100-AVERAGE(E$317,E$315,E$329,E$344,E$332,E$337,E$339,E$322,E$325,E$318))/(100-BH344)))</f>
        <v>37.755156710420557</v>
      </c>
      <c r="BS344" s="858">
        <f>E339-BH344</f>
        <v>15.030000000000001</v>
      </c>
      <c r="BT344" s="862">
        <f>100*(1-((BG344*BH344)/(AVERAGE(D$317,D$315,D$329,D$344,D$332,D$337,D$339,D$322,D$325,D$318)*AVERAGE(E$317,E$315,E$329,E$344,E$332,E$337,E$339,E$322,E$325,E$318))))</f>
        <v>46.033076075173184</v>
      </c>
      <c r="BU344" s="863">
        <f>100*100*((AVERAGE(E$317,E$315,E$329,E$344,E$332,E$337,E$339,E$322,E$325,E$318)-BH344)/((100-BH344)*AVERAGE(E$317,E$315,E$329,E$344,E$332,E$337,E$339,E$322,E$325,E$318)))</f>
        <v>49.183415025820132</v>
      </c>
      <c r="BV344" s="318">
        <v>7.26</v>
      </c>
      <c r="BW344" s="319">
        <v>50.6</v>
      </c>
      <c r="BX344" s="319">
        <v>664</v>
      </c>
      <c r="BY344" s="462">
        <f t="shared" si="422"/>
        <v>32</v>
      </c>
      <c r="BZ344" s="462">
        <f t="shared" si="423"/>
        <v>23.3125</v>
      </c>
      <c r="CA344" s="348">
        <v>461</v>
      </c>
      <c r="CB344" s="348">
        <f t="shared" si="424"/>
        <v>47606.815625000003</v>
      </c>
      <c r="CC344" s="334">
        <f t="shared" si="425"/>
        <v>367.96875</v>
      </c>
      <c r="CD344" s="334">
        <f t="shared" si="426"/>
        <v>15.33203125</v>
      </c>
      <c r="CE344" s="984">
        <f>CC344/(AVERAGE(BY343,BY344)*(AVERAGE(D$317,D$315,D$329,D$344,D$332,D$337,D$339,D$322,D$325,D$318))*AVERAGE(E$317,E$315,E$329,E$344,E$332,E$337,E$339,E$322,E$325,E$318)*0.0001)</f>
        <v>436.21748706873285</v>
      </c>
      <c r="CF344" s="441">
        <f>(CB344-CB338)/(AVERAGE(BY338:BY344)*((AVERAGE(D$317,D$315,D$329,D$344,D$332,D$337,D$339,D$322,D$325,D$318)*AVERAGE(E$317,E$315,E$329,E$344,E$332,E$337,E$339,E$322,E$325,E$318))-(BG344*BH344))*0.0001*(SUM(C338:C344)/24))</f>
        <v>1046.0193632231142</v>
      </c>
      <c r="CG344" s="441">
        <f>CC344/(AVERAGE(BY344)*AVERAGE((D$317,D$315,D$329,D$344,D$332,D$337,D$339,D$322,D$325,D$318))*0.01)</f>
        <v>334.85799177344211</v>
      </c>
      <c r="CH344" s="477">
        <f t="shared" si="427"/>
        <v>0.49325569705093836</v>
      </c>
      <c r="CI344" s="319">
        <v>67.7</v>
      </c>
      <c r="CJ344" s="319">
        <v>29.1</v>
      </c>
      <c r="CK344" s="319">
        <v>0</v>
      </c>
      <c r="CL344" s="319">
        <v>93</v>
      </c>
      <c r="CM344" s="319">
        <v>85</v>
      </c>
      <c r="CN344" s="442"/>
    </row>
    <row r="345" spans="1:112" s="337" customFormat="1" ht="15">
      <c r="A345" s="309">
        <f t="shared" si="412"/>
        <v>41500</v>
      </c>
      <c r="B345" s="310">
        <v>0.33333333333333098</v>
      </c>
      <c r="C345" s="311">
        <f t="shared" si="413"/>
        <v>24</v>
      </c>
      <c r="D345" s="318">
        <v>3.4</v>
      </c>
      <c r="E345" s="319">
        <v>74.7</v>
      </c>
      <c r="F345" s="313">
        <v>41400</v>
      </c>
      <c r="G345" s="319"/>
      <c r="H345" s="319">
        <v>40.799999999999997</v>
      </c>
      <c r="I345" s="313">
        <v>5715</v>
      </c>
      <c r="J345" s="317">
        <v>2535</v>
      </c>
      <c r="K345" s="317">
        <v>31.8</v>
      </c>
      <c r="L345" s="320">
        <v>219</v>
      </c>
      <c r="M345" s="317"/>
      <c r="N345" s="319"/>
      <c r="O345" s="472"/>
      <c r="P345" s="763"/>
      <c r="Q345" s="764"/>
      <c r="R345" s="765"/>
      <c r="S345" s="317"/>
      <c r="T345" s="317"/>
      <c r="U345" s="757"/>
      <c r="V345" s="318">
        <v>2.7</v>
      </c>
      <c r="W345" s="319">
        <v>69.5</v>
      </c>
      <c r="X345" s="319">
        <v>21700</v>
      </c>
      <c r="Y345" s="319">
        <v>29.1</v>
      </c>
      <c r="Z345" s="319">
        <v>1887</v>
      </c>
      <c r="AA345" s="317">
        <v>588</v>
      </c>
      <c r="AB345" s="317">
        <v>72.5</v>
      </c>
      <c r="AC345" s="320">
        <v>127</v>
      </c>
      <c r="AD345" s="1029">
        <f>D344*(100-E344)/(100-W345)</f>
        <v>2.5749442622950824</v>
      </c>
      <c r="AE345" s="753">
        <f>D344-V345</f>
        <v>0.52</v>
      </c>
      <c r="AF345" s="864">
        <f>100*(AVERAGE(D$317,D$345,D$329,D$344,D$332,D$337,D$339,D$322,D$325,D$318)-V345)/AVERAGE(D$317,D$345,D$329,D$344,D$332,D$337,D$339,D$322,D$325,D$318)</f>
        <v>22.279792746113973</v>
      </c>
      <c r="AG345" s="864">
        <f>100*(1-((100-AVERAGE(E$317,E$345,E$329,E$344,E$332,E$337,E$339,E$322,E$325,E$318))/(100-W345)))</f>
        <v>23.619672131147563</v>
      </c>
      <c r="AH345" s="753">
        <f>E344-W345</f>
        <v>6.1099999999999994</v>
      </c>
      <c r="AI345" s="847">
        <f>100*(1-((V345*W345)/(AVERAGE(D$317,D$345,D$329,D$344,D$332,D$337,D$339,D$322,D$325,D$318)*AVERAGE(E$317,E$345,E$329,E$344,E$332,E$337,E$339,E$322,E$325,E$318))))</f>
        <v>29.579234405701428</v>
      </c>
      <c r="AJ345" s="847">
        <f>100*100*((AVERAGE(E$317,E$345,E$329,E$344,E$332,E$337,E$339,E$322,E$325,E$318)-W345)/((100-W345)*AVERAGE(E$317,E$345,E$329,E$344,E$332,E$337,E$339,E$322,E$325,E$318)))</f>
        <v>30.793273012030092</v>
      </c>
      <c r="AK345" s="318"/>
      <c r="AL345" s="319">
        <v>35.200000000000003</v>
      </c>
      <c r="AM345" s="605">
        <v>1058</v>
      </c>
      <c r="AN345" s="847">
        <f t="shared" ref="AN345:AN346" si="430">(AM345-AM344)*AQ$1/((C344)/24)</f>
        <v>60.480000000000004</v>
      </c>
      <c r="AO345" s="847">
        <f t="shared" ref="AO345:AO346" si="431">AQ$3/AN345</f>
        <v>23.363095238095237</v>
      </c>
      <c r="AP345" s="441">
        <v>694</v>
      </c>
      <c r="AQ345" s="490">
        <f t="shared" si="336"/>
        <v>41699.690625000003</v>
      </c>
      <c r="AR345" s="348">
        <f t="shared" ref="AR345" si="432">(AQ345-AQ344)/(C345/24)</f>
        <v>1025.8968749999985</v>
      </c>
      <c r="AS345" s="512">
        <f t="shared" ref="AS345" si="433">(AQ345-AQ344)/C345</f>
        <v>42.745703124999942</v>
      </c>
      <c r="AT345" s="334">
        <f t="shared" ref="AT345" si="434">AR345/(AVERAGE(AN345)*(AVERAGE(D$317,D$345,D$329,D$344,D$332,D$337,D$339,D$322,D$325,D$318))*AVERAGE(E$317,E$345,E$329,E$344,E$332,E$337,E$339,E$322,E$325,E$318)*0.0001)</f>
        <v>636.56696651760012</v>
      </c>
      <c r="AU345" s="348">
        <f>(AQ345-AQ339)/(AVERAGE(AN339:AN345)*((AVERAGE(D$317,D$345,D$329,D$344,D$332,D$337,D$339,D$322,D$325,D$318)*AVERAGE(E$317,E$345,E$329,E$344,E$332,E$337,E$339,E$322,E$325,E$318))-(V345*W345))*0.0001*(SUM(C339:C345)/24))</f>
        <v>1892.4773302736517</v>
      </c>
      <c r="AV345" s="512">
        <f t="shared" ref="AV345" si="435">AR345/(AVERAGE(AN345)*AVERAGE(D$317,D$345,D$329,D$344,D$332,D$337,D$339,D$322,D$325,D$318)*0.01)</f>
        <v>488.27232599766006</v>
      </c>
      <c r="AW345" s="848"/>
      <c r="AX345" s="319"/>
      <c r="AY345" s="319"/>
      <c r="AZ345" s="319"/>
      <c r="BA345" s="319"/>
      <c r="BB345" s="319"/>
      <c r="BC345" s="317"/>
      <c r="BD345" s="368"/>
      <c r="BE345" s="368"/>
      <c r="BF345" s="471"/>
      <c r="BG345" s="318">
        <v>2.2999999999999998</v>
      </c>
      <c r="BH345" s="319">
        <v>63.3</v>
      </c>
      <c r="BI345" s="319">
        <v>23200</v>
      </c>
      <c r="BJ345" s="319">
        <v>23.6</v>
      </c>
      <c r="BK345" s="319">
        <v>2498</v>
      </c>
      <c r="BL345" s="317">
        <v>556</v>
      </c>
      <c r="BM345" s="317">
        <v>75</v>
      </c>
      <c r="BN345" s="320">
        <v>121</v>
      </c>
      <c r="BO345" s="859">
        <f>D344*(100-E344)/(100-BH345)</f>
        <v>2.1399400544959128</v>
      </c>
      <c r="BP345" s="753">
        <f>D344-BG345</f>
        <v>0.92000000000000037</v>
      </c>
      <c r="BQ345" s="860">
        <f>100*(AVERAGE(D$317,D$345,D$329,D$344,D$332,D$337,D$339,D$322,D$325,D$318)-BG345)/AVERAGE(D$317,D$345,D$329,D$344,D$332,D$337,D$339,D$322,D$325,D$318)</f>
        <v>33.793897524467468</v>
      </c>
      <c r="BR345" s="861">
        <f>100*(1-((100-AVERAGE(E$317,E$345,E$329,E$344,E$332,E$337,E$339,E$322,E$325,E$318))/(100-BH345)))</f>
        <v>36.523160762942808</v>
      </c>
      <c r="BS345" s="858">
        <f>E344-BH345</f>
        <v>12.310000000000002</v>
      </c>
      <c r="BT345" s="862">
        <f>100*(1-((BG345*BH345)/(AVERAGE(D$317,D$345,D$329,D$344,D$332,D$337,D$339,D$322,D$325,D$318)*AVERAGE(E$317,E$345,E$329,E$344,E$332,E$337,E$339,E$322,E$325,E$318))))</f>
        <v>45.363393216765644</v>
      </c>
      <c r="BU345" s="863">
        <f>100*100*((AVERAGE(E$317,E$345,E$329,E$344,E$332,E$337,E$339,E$322,E$325,E$318)-BH345)/((100-BH345)*AVERAGE(E$317,E$345,E$329,E$344,E$332,E$337,E$339,E$322,E$325,E$318)))</f>
        <v>47.615718558279625</v>
      </c>
      <c r="BV345" s="318"/>
      <c r="BW345" s="319">
        <v>50.6</v>
      </c>
      <c r="BX345" s="319">
        <v>680</v>
      </c>
      <c r="BY345" s="462">
        <f t="shared" si="422"/>
        <v>32</v>
      </c>
      <c r="BZ345" s="462">
        <f t="shared" si="423"/>
        <v>23.3125</v>
      </c>
      <c r="CA345" s="348">
        <v>467</v>
      </c>
      <c r="CB345" s="348">
        <f t="shared" si="424"/>
        <v>47974.784375000003</v>
      </c>
      <c r="CC345" s="334">
        <f t="shared" ref="CC345:CC346" si="436">(CB345-CB344)/((C345/24))</f>
        <v>367.96875</v>
      </c>
      <c r="CD345" s="334">
        <f t="shared" ref="CD345:CD346" si="437">(CB345-CB344)/(C345)</f>
        <v>15.33203125</v>
      </c>
      <c r="CE345" s="984">
        <f>CC345/(AVERAGE(BY344,BY345)*(AVERAGE(D$317,D$345,D$329,D$344,D$332,D$337,D$339,D$322,D$325,D$318))*AVERAGE(E$317,E$345,E$329,E$344,E$332,E$337,E$339,E$322,E$325,E$318)*0.0001)</f>
        <v>431.53212579564769</v>
      </c>
      <c r="CF345" s="441">
        <f>(CB345-CB339)/(AVERAGE(BY339:BY345)*((AVERAGE(D$317,D$345,D$329,D$344,D$332,D$337,D$339,D$322,D$325,D$318)*AVERAGE(E$317,E$345,E$329,E$344,E$332,E$337,E$339,E$322,E$325,E$318))-(BG345*BH345))*0.0001*(SUM(C339:C345)/24))</f>
        <v>1025.0291913982105</v>
      </c>
      <c r="CG345" s="441">
        <f>CC345/(AVERAGE(BY345)*AVERAGE((D$317,D$345,D$329,D$344,D$332,D$337,D$339,D$322,D$325,D$318))*0.01)</f>
        <v>331.00240177029366</v>
      </c>
      <c r="CH345" s="477">
        <f t="shared" si="427"/>
        <v>0.49325569705093836</v>
      </c>
      <c r="CI345" s="319"/>
      <c r="CJ345" s="319"/>
      <c r="CK345" s="319"/>
      <c r="CL345" s="319"/>
      <c r="CM345" s="319"/>
      <c r="CN345" s="442"/>
    </row>
    <row r="346" spans="1:112" s="69" customFormat="1" ht="15">
      <c r="A346" s="378">
        <f t="shared" si="412"/>
        <v>41501</v>
      </c>
      <c r="B346" s="663">
        <v>0.33333333333333331</v>
      </c>
      <c r="C346" s="304">
        <f t="shared" si="413"/>
        <v>24.000000000000053</v>
      </c>
      <c r="D346" s="65"/>
      <c r="E346" s="66"/>
      <c r="F346" s="72"/>
      <c r="G346" s="66"/>
      <c r="H346" s="66"/>
      <c r="I346" s="72"/>
      <c r="J346" s="256"/>
      <c r="K346" s="256"/>
      <c r="L346" s="63"/>
      <c r="M346" s="86"/>
      <c r="N346" s="66"/>
      <c r="O346" s="265"/>
      <c r="P346" s="224"/>
      <c r="Q346" s="210"/>
      <c r="R346" s="225"/>
      <c r="S346" s="235"/>
      <c r="T346" s="235"/>
      <c r="U346" s="232"/>
      <c r="V346" s="65"/>
      <c r="W346" s="66"/>
      <c r="X346" s="76"/>
      <c r="Y346" s="66"/>
      <c r="Z346" s="72"/>
      <c r="AA346" s="256"/>
      <c r="AB346" s="256"/>
      <c r="AC346" s="63"/>
      <c r="AD346" s="993"/>
      <c r="AE346" s="994"/>
      <c r="AF346" s="995"/>
      <c r="AG346" s="990"/>
      <c r="AH346" s="996"/>
      <c r="AI346" s="994"/>
      <c r="AJ346" s="997"/>
      <c r="AK346" s="65"/>
      <c r="AL346" s="66">
        <v>35.4</v>
      </c>
      <c r="AM346" s="160">
        <v>1085</v>
      </c>
      <c r="AN346" s="853">
        <f t="shared" si="430"/>
        <v>58.320000000000007</v>
      </c>
      <c r="AO346" s="854">
        <f t="shared" si="431"/>
        <v>24.228395061728392</v>
      </c>
      <c r="AP346" s="180">
        <v>710</v>
      </c>
      <c r="AQ346" s="490">
        <f t="shared" si="336"/>
        <v>42665.240625000006</v>
      </c>
      <c r="AR346" s="76">
        <f t="shared" ref="AR346" si="438">(AQ346-AQ345)/(C346/24)</f>
        <v>965.55000000000075</v>
      </c>
      <c r="AS346" s="230">
        <f t="shared" ref="AS346" si="439">(AQ346-AQ345)/C346</f>
        <v>40.231250000000031</v>
      </c>
      <c r="AT346" s="208">
        <f t="shared" ref="AT346" si="440">AR346/(AVERAGE(AN346)*(AVERAGE(D$317,D$345,D$329,D$344,D$332,D$337,D$339,D$322,D$325,D$318))*AVERAGE(E$317,E$345,E$329,E$344,E$332,E$337,E$339,E$322,E$325,E$318)*0.0001)</f>
        <v>621.31154901935815</v>
      </c>
      <c r="AU346" s="208"/>
      <c r="AV346" s="230">
        <f t="shared" ref="AV346" si="441">AR346/(AVERAGE(AN346)*AVERAGE(D$317,D$345,D$329,D$344,D$332,D$337,D$339,D$322,D$325,D$318)*0.01)</f>
        <v>476.57081055980859</v>
      </c>
      <c r="AW346" s="991"/>
      <c r="AX346" s="98"/>
      <c r="AY346" s="98"/>
      <c r="AZ346" s="98"/>
      <c r="BA346" s="98"/>
      <c r="BB346" s="98"/>
      <c r="BC346" s="105"/>
      <c r="BD346" s="235"/>
      <c r="BE346" s="235"/>
      <c r="BF346" s="233"/>
      <c r="BG346" s="65"/>
      <c r="BH346" s="66"/>
      <c r="BI346" s="76"/>
      <c r="BJ346" s="66"/>
      <c r="BK346" s="76"/>
      <c r="BL346" s="256"/>
      <c r="BM346" s="256"/>
      <c r="BN346" s="63"/>
      <c r="BO346" s="993"/>
      <c r="BP346" s="994"/>
      <c r="BQ346" s="995"/>
      <c r="BR346" s="990"/>
      <c r="BS346" s="1006"/>
      <c r="BT346" s="996"/>
      <c r="BU346" s="1007"/>
      <c r="BV346" s="65"/>
      <c r="BW346" s="66">
        <v>50.6</v>
      </c>
      <c r="BX346" s="66">
        <v>695</v>
      </c>
      <c r="BY346" s="159">
        <f t="shared" ref="BY346" si="442">(BX346-BX345)*CB$1/((C346)/24)</f>
        <v>29.999999999999932</v>
      </c>
      <c r="BZ346" s="159">
        <f t="shared" ref="BZ346" si="443">CB$3/BY346</f>
        <v>24.866666666666724</v>
      </c>
      <c r="CA346" s="76">
        <v>475</v>
      </c>
      <c r="CB346" s="490">
        <f t="shared" si="424"/>
        <v>48465.409375000003</v>
      </c>
      <c r="CC346" s="208">
        <f t="shared" si="436"/>
        <v>490.62499999999892</v>
      </c>
      <c r="CD346" s="208">
        <f t="shared" si="437"/>
        <v>20.44270833333329</v>
      </c>
      <c r="CE346" s="985">
        <f>CC346/(AVERAGE(BY345,BY346)*(AVERAGE(D$317,D$345,D$329,D$344,D$332,D$337,D$339,D$322,D$325,D$318))*AVERAGE(E$317,E$345,E$329,E$344,E$332,E$337,E$339,E$322,E$325,E$318)*0.0001)</f>
        <v>593.93668926712735</v>
      </c>
      <c r="CF346" s="585"/>
      <c r="CG346" s="180">
        <f>CC346/(AVERAGE(BY346)*AVERAGE((D$317,D$345,D$329,D$344,D$332,D$337,D$339,D$322,D$325,D$318))*0.01)</f>
        <v>470.75897140663994</v>
      </c>
      <c r="CH346" s="433">
        <f t="shared" si="427"/>
        <v>0.65767426273458296</v>
      </c>
      <c r="CI346" s="66"/>
      <c r="CJ346" s="66"/>
      <c r="CK346" s="66"/>
      <c r="CL346" s="66"/>
      <c r="CM346" s="66"/>
      <c r="CN346" s="134"/>
    </row>
    <row r="347" spans="1:112">
      <c r="A347" s="378">
        <f t="shared" si="412"/>
        <v>41502</v>
      </c>
      <c r="B347" s="663">
        <v>0.33333333333333331</v>
      </c>
      <c r="C347" s="304">
        <f t="shared" si="413"/>
        <v>24</v>
      </c>
      <c r="D347" s="65"/>
      <c r="E347" s="66"/>
      <c r="F347" s="66"/>
      <c r="G347" s="66"/>
      <c r="H347" s="66"/>
      <c r="I347" s="66"/>
      <c r="J347" s="86"/>
      <c r="K347" s="86"/>
      <c r="L347" s="63"/>
      <c r="M347" s="86"/>
      <c r="N347" s="66"/>
      <c r="O347" s="265"/>
      <c r="P347" s="65"/>
      <c r="Q347" s="66"/>
      <c r="R347" s="67"/>
      <c r="S347" s="86"/>
      <c r="T347" s="86"/>
      <c r="U347" s="232"/>
      <c r="V347" s="65"/>
      <c r="W347" s="66"/>
      <c r="X347" s="66"/>
      <c r="Y347" s="66"/>
      <c r="Z347" s="66"/>
      <c r="AA347" s="86"/>
      <c r="AB347" s="86"/>
      <c r="AC347" s="63"/>
      <c r="AD347" s="981"/>
      <c r="AE347" s="981"/>
      <c r="AF347" s="981"/>
      <c r="AG347" s="364"/>
      <c r="AH347" s="364"/>
      <c r="AI347" s="982"/>
      <c r="AJ347" s="983"/>
      <c r="AK347" s="65"/>
      <c r="AL347" s="66">
        <v>35.200000000000003</v>
      </c>
      <c r="AM347" s="160">
        <v>1113</v>
      </c>
      <c r="AN347" s="854">
        <f t="shared" si="418"/>
        <v>60.479999999999869</v>
      </c>
      <c r="AO347" s="854">
        <f t="shared" si="419"/>
        <v>23.363095238095287</v>
      </c>
      <c r="AP347" s="180">
        <v>726</v>
      </c>
      <c r="AQ347" s="490">
        <f t="shared" si="336"/>
        <v>43630.790625000001</v>
      </c>
      <c r="AR347" s="76">
        <f t="shared" si="420"/>
        <v>965.54999999999563</v>
      </c>
      <c r="AS347" s="230">
        <f t="shared" si="421"/>
        <v>40.231249999999818</v>
      </c>
      <c r="AT347" s="208">
        <f t="shared" ref="AT347:AT350" si="444">AR347/(AVERAGE(AN347)*(AVERAGE(D$317,D$345,D$329,D$344,D$332,D$337,D$339,D$322,D$325,D$318))*AVERAGE(E$317,E$345,E$329,E$344,E$332,E$337,E$339,E$322,E$325,E$318)*0.0001)</f>
        <v>599.12185084009366</v>
      </c>
      <c r="AU347" s="208"/>
      <c r="AV347" s="230">
        <f t="shared" ref="AV347:AV350" si="445">AR347/(AVERAGE(AN347)*AVERAGE(D$317,D$345,D$329,D$344,D$332,D$337,D$339,D$322,D$325,D$318)*0.01)</f>
        <v>459.55042446838547</v>
      </c>
      <c r="AW347" s="855">
        <f t="shared" si="323"/>
        <v>0.68333333333333024</v>
      </c>
      <c r="AX347" s="66"/>
      <c r="AY347" s="66"/>
      <c r="AZ347" s="66"/>
      <c r="BA347" s="66"/>
      <c r="BB347" s="66"/>
      <c r="BC347" s="63"/>
      <c r="BD347" s="64"/>
      <c r="BE347" s="64"/>
      <c r="BF347" s="233"/>
      <c r="BG347" s="65"/>
      <c r="BH347" s="66"/>
      <c r="BI347" s="66"/>
      <c r="BJ347" s="66"/>
      <c r="BK347" s="66"/>
      <c r="BL347" s="86"/>
      <c r="BM347" s="86"/>
      <c r="BN347" s="63"/>
      <c r="BO347" s="981"/>
      <c r="BP347" s="981"/>
      <c r="BQ347" s="981"/>
      <c r="BR347" s="364"/>
      <c r="BS347" s="982"/>
      <c r="BT347" s="364"/>
      <c r="BU347" s="1008"/>
      <c r="BV347" s="65"/>
      <c r="BW347" s="66">
        <v>50.6</v>
      </c>
      <c r="BX347" s="66">
        <v>711</v>
      </c>
      <c r="BY347" s="159">
        <f t="shared" si="422"/>
        <v>32</v>
      </c>
      <c r="BZ347" s="159">
        <f t="shared" si="423"/>
        <v>23.3125</v>
      </c>
      <c r="CA347" s="76">
        <v>482</v>
      </c>
      <c r="CB347" s="490">
        <f t="shared" si="424"/>
        <v>48894.706250000003</v>
      </c>
      <c r="CC347" s="208">
        <f t="shared" si="425"/>
        <v>429.296875</v>
      </c>
      <c r="CD347" s="208">
        <f t="shared" si="426"/>
        <v>17.887369791666668</v>
      </c>
      <c r="CE347" s="985">
        <f t="shared" ref="CE347:CE350" si="446">CC347/(AVERAGE(BY346,BY347)*(AVERAGE(D$317,D$345,D$329,D$344,D$332,D$337,D$339,D$322,D$325,D$318))*AVERAGE(E$317,E$345,E$329,E$344,E$332,E$337,E$339,E$322,E$325,E$318)*0.0001)</f>
        <v>519.69460310873762</v>
      </c>
      <c r="CF347" s="585"/>
      <c r="CG347" s="180">
        <f>CC347/(AVERAGE(BY347)*AVERAGE((D$317,D$345,D$329,D$344,D$332,D$337,D$339,D$322,D$325,D$318))*0.01)</f>
        <v>386.16946873200931</v>
      </c>
      <c r="CH347" s="433">
        <f t="shared" si="427"/>
        <v>0.57546497989276135</v>
      </c>
      <c r="CI347" s="66"/>
      <c r="CJ347" s="66"/>
      <c r="CK347" s="66"/>
      <c r="CL347" s="66"/>
      <c r="CM347" s="66"/>
      <c r="CN347" s="135"/>
    </row>
    <row r="348" spans="1:112" ht="15">
      <c r="A348" s="378">
        <f t="shared" si="412"/>
        <v>41503</v>
      </c>
      <c r="B348" s="663">
        <v>0.33333333333333331</v>
      </c>
      <c r="C348" s="304">
        <f t="shared" si="413"/>
        <v>24</v>
      </c>
      <c r="D348" s="65"/>
      <c r="E348" s="66"/>
      <c r="F348" s="66"/>
      <c r="G348" s="66"/>
      <c r="H348" s="66"/>
      <c r="I348" s="66"/>
      <c r="J348" s="86"/>
      <c r="K348" s="86"/>
      <c r="L348" s="63"/>
      <c r="M348" s="86">
        <v>50</v>
      </c>
      <c r="N348" s="66">
        <v>80</v>
      </c>
      <c r="O348" s="265"/>
      <c r="P348" s="224">
        <v>1050</v>
      </c>
      <c r="Q348" s="210">
        <f t="shared" ref="Q348" si="447">P348/((N348-M348)*N$4)</f>
        <v>6.9665605095541405</v>
      </c>
      <c r="R348" s="225">
        <f t="shared" ref="R348" si="448">10*Q348/(AVERAGE(D$261,D$262))</f>
        <v>23.144719300844322</v>
      </c>
      <c r="S348" s="86"/>
      <c r="T348" s="86"/>
      <c r="U348" s="232"/>
      <c r="V348" s="65"/>
      <c r="W348" s="66"/>
      <c r="X348" s="66"/>
      <c r="Y348" s="66"/>
      <c r="Z348" s="66"/>
      <c r="AA348" s="86"/>
      <c r="AB348" s="86"/>
      <c r="AC348" s="63"/>
      <c r="AD348" s="981"/>
      <c r="AE348" s="981"/>
      <c r="AF348" s="981"/>
      <c r="AG348" s="364"/>
      <c r="AH348" s="364"/>
      <c r="AI348" s="982"/>
      <c r="AJ348" s="983"/>
      <c r="AK348" s="65"/>
      <c r="AL348" s="66">
        <v>35.1</v>
      </c>
      <c r="AM348" s="160">
        <v>1141</v>
      </c>
      <c r="AN348" s="854">
        <f t="shared" si="418"/>
        <v>60.480000000000004</v>
      </c>
      <c r="AO348" s="854">
        <f t="shared" si="419"/>
        <v>23.363095238095237</v>
      </c>
      <c r="AP348" s="180">
        <v>742</v>
      </c>
      <c r="AQ348" s="490">
        <f t="shared" si="336"/>
        <v>44596.340625000004</v>
      </c>
      <c r="AR348" s="76">
        <f t="shared" si="420"/>
        <v>965.55000000000291</v>
      </c>
      <c r="AS348" s="230">
        <f t="shared" si="421"/>
        <v>40.231250000000124</v>
      </c>
      <c r="AT348" s="208">
        <f t="shared" si="444"/>
        <v>599.12185084009684</v>
      </c>
      <c r="AU348" s="208"/>
      <c r="AV348" s="230">
        <f t="shared" si="445"/>
        <v>459.55042446838797</v>
      </c>
      <c r="AW348" s="855">
        <f t="shared" si="323"/>
        <v>0.68333333333333535</v>
      </c>
      <c r="AX348" s="66"/>
      <c r="AY348" s="66"/>
      <c r="AZ348" s="66"/>
      <c r="BA348" s="66"/>
      <c r="BB348" s="66"/>
      <c r="BC348" s="63"/>
      <c r="BD348" s="64"/>
      <c r="BE348" s="64"/>
      <c r="BF348" s="233"/>
      <c r="BG348" s="65"/>
      <c r="BH348" s="66"/>
      <c r="BI348" s="66"/>
      <c r="BJ348" s="66"/>
      <c r="BK348" s="66"/>
      <c r="BL348" s="86"/>
      <c r="BM348" s="86"/>
      <c r="BN348" s="63"/>
      <c r="BO348" s="981"/>
      <c r="BP348" s="981"/>
      <c r="BQ348" s="981"/>
      <c r="BR348" s="364"/>
      <c r="BS348" s="982"/>
      <c r="BT348" s="364"/>
      <c r="BU348" s="1008"/>
      <c r="BV348" s="65"/>
      <c r="BW348" s="66">
        <v>50.5</v>
      </c>
      <c r="BX348" s="66">
        <v>727</v>
      </c>
      <c r="BY348" s="159">
        <f t="shared" si="422"/>
        <v>32</v>
      </c>
      <c r="BZ348" s="159">
        <f t="shared" si="423"/>
        <v>23.3125</v>
      </c>
      <c r="CA348" s="76">
        <v>488</v>
      </c>
      <c r="CB348" s="490">
        <f t="shared" si="424"/>
        <v>49262.675000000003</v>
      </c>
      <c r="CC348" s="208">
        <f t="shared" si="425"/>
        <v>367.96875</v>
      </c>
      <c r="CD348" s="208">
        <f t="shared" si="426"/>
        <v>15.33203125</v>
      </c>
      <c r="CE348" s="985">
        <f t="shared" si="446"/>
        <v>431.53212579564769</v>
      </c>
      <c r="CF348" s="585"/>
      <c r="CG348" s="180">
        <f>CC348/(AVERAGE(BY348)*AVERAGE((D$317,D$345,D$329,D$344,D$332,D$337,D$339,D$322,D$325,D$318))*0.01)</f>
        <v>331.00240177029366</v>
      </c>
      <c r="CH348" s="433">
        <f t="shared" si="427"/>
        <v>0.49325569705093836</v>
      </c>
      <c r="CI348" s="66"/>
      <c r="CJ348" s="66"/>
      <c r="CK348" s="66"/>
      <c r="CL348" s="66"/>
      <c r="CM348" s="66"/>
      <c r="CN348" s="110"/>
    </row>
    <row r="349" spans="1:112" ht="15">
      <c r="A349" s="378">
        <f t="shared" si="412"/>
        <v>41504</v>
      </c>
      <c r="B349" s="663">
        <v>0.33333333333333331</v>
      </c>
      <c r="C349" s="304">
        <f t="shared" si="413"/>
        <v>24</v>
      </c>
      <c r="D349" s="65"/>
      <c r="E349" s="66"/>
      <c r="F349" s="66"/>
      <c r="G349" s="66"/>
      <c r="H349" s="66"/>
      <c r="I349" s="66"/>
      <c r="J349" s="86"/>
      <c r="K349" s="86"/>
      <c r="L349" s="63"/>
      <c r="M349" s="86"/>
      <c r="N349" s="66"/>
      <c r="O349" s="265"/>
      <c r="P349" s="224"/>
      <c r="Q349" s="210"/>
      <c r="R349" s="225"/>
      <c r="S349" s="86"/>
      <c r="T349" s="86"/>
      <c r="U349" s="232"/>
      <c r="V349" s="65"/>
      <c r="W349" s="66"/>
      <c r="X349" s="66"/>
      <c r="Y349" s="66"/>
      <c r="Z349" s="66"/>
      <c r="AA349" s="86"/>
      <c r="AB349" s="86"/>
      <c r="AC349" s="63"/>
      <c r="AD349" s="981"/>
      <c r="AE349" s="981"/>
      <c r="AF349" s="981"/>
      <c r="AG349" s="364"/>
      <c r="AH349" s="364"/>
      <c r="AI349" s="982"/>
      <c r="AJ349" s="983"/>
      <c r="AK349" s="65"/>
      <c r="AL349" s="66">
        <v>35.1</v>
      </c>
      <c r="AM349" s="160">
        <v>1170</v>
      </c>
      <c r="AN349" s="854">
        <f t="shared" si="418"/>
        <v>62.64</v>
      </c>
      <c r="AO349" s="854">
        <f t="shared" si="419"/>
        <v>22.557471264367816</v>
      </c>
      <c r="AP349" s="180">
        <v>758</v>
      </c>
      <c r="AQ349" s="490">
        <f t="shared" si="336"/>
        <v>45561.890625</v>
      </c>
      <c r="AR349" s="76">
        <f t="shared" si="420"/>
        <v>965.54999999999563</v>
      </c>
      <c r="AS349" s="230">
        <f t="shared" si="421"/>
        <v>40.231249999999818</v>
      </c>
      <c r="AT349" s="208">
        <f t="shared" si="444"/>
        <v>578.46247667319267</v>
      </c>
      <c r="AU349" s="208"/>
      <c r="AV349" s="230">
        <f t="shared" si="445"/>
        <v>443.70385810740567</v>
      </c>
      <c r="AW349" s="855">
        <f t="shared" si="323"/>
        <v>0.68333333333333024</v>
      </c>
      <c r="AX349" s="66"/>
      <c r="AY349" s="66"/>
      <c r="AZ349" s="66"/>
      <c r="BA349" s="66"/>
      <c r="BB349" s="66"/>
      <c r="BC349" s="63"/>
      <c r="BD349" s="64"/>
      <c r="BE349" s="64"/>
      <c r="BF349" s="233"/>
      <c r="BG349" s="65"/>
      <c r="BH349" s="66"/>
      <c r="BI349" s="66"/>
      <c r="BJ349" s="66"/>
      <c r="BK349" s="66"/>
      <c r="BL349" s="86"/>
      <c r="BM349" s="86"/>
      <c r="BN349" s="63"/>
      <c r="BO349" s="981"/>
      <c r="BP349" s="981"/>
      <c r="BQ349" s="981"/>
      <c r="BR349" s="364"/>
      <c r="BS349" s="982"/>
      <c r="BT349" s="364"/>
      <c r="BU349" s="1008"/>
      <c r="BV349" s="65"/>
      <c r="BW349" s="66">
        <v>50.5</v>
      </c>
      <c r="BX349" s="66">
        <v>743</v>
      </c>
      <c r="BY349" s="159">
        <f t="shared" si="422"/>
        <v>32</v>
      </c>
      <c r="BZ349" s="159">
        <f t="shared" si="423"/>
        <v>23.3125</v>
      </c>
      <c r="CA349" s="76">
        <v>495</v>
      </c>
      <c r="CB349" s="490">
        <f t="shared" si="424"/>
        <v>49691.971875000003</v>
      </c>
      <c r="CC349" s="208">
        <f t="shared" si="425"/>
        <v>429.296875</v>
      </c>
      <c r="CD349" s="208">
        <f t="shared" si="426"/>
        <v>17.887369791666668</v>
      </c>
      <c r="CE349" s="985">
        <f t="shared" si="446"/>
        <v>503.45414676158896</v>
      </c>
      <c r="CF349" s="585"/>
      <c r="CG349" s="180">
        <f>CC349/(AVERAGE(BY349)*AVERAGE((D$317,D$345,D$329,D$344,D$332,D$337,D$339,D$322,D$325,D$318))*0.01)</f>
        <v>386.16946873200931</v>
      </c>
      <c r="CH349" s="433">
        <f t="shared" si="427"/>
        <v>0.57546497989276135</v>
      </c>
      <c r="CI349" s="66"/>
      <c r="CJ349" s="66"/>
      <c r="CK349" s="66"/>
      <c r="CL349" s="66"/>
      <c r="CM349" s="66"/>
      <c r="CN349" s="110"/>
    </row>
    <row r="350" spans="1:112">
      <c r="A350" s="378">
        <f t="shared" si="412"/>
        <v>41505</v>
      </c>
      <c r="B350" s="663">
        <v>0.33333333333333331</v>
      </c>
      <c r="C350" s="304">
        <f t="shared" si="413"/>
        <v>24</v>
      </c>
      <c r="D350" s="65"/>
      <c r="E350" s="66"/>
      <c r="F350" s="66"/>
      <c r="G350" s="66">
        <v>5.7</v>
      </c>
      <c r="H350" s="66"/>
      <c r="I350" s="66"/>
      <c r="J350" s="86"/>
      <c r="K350" s="86"/>
      <c r="L350" s="63"/>
      <c r="M350" s="86"/>
      <c r="N350" s="66"/>
      <c r="O350" s="265"/>
      <c r="P350" s="65"/>
      <c r="Q350" s="66"/>
      <c r="R350" s="67"/>
      <c r="S350" s="86"/>
      <c r="T350" s="86"/>
      <c r="U350" s="232"/>
      <c r="V350" s="65"/>
      <c r="W350" s="66"/>
      <c r="X350" s="66"/>
      <c r="Y350" s="66"/>
      <c r="Z350" s="66"/>
      <c r="AA350" s="86"/>
      <c r="AB350" s="86"/>
      <c r="AC350" s="63"/>
      <c r="AD350" s="981"/>
      <c r="AE350" s="981"/>
      <c r="AF350" s="981"/>
      <c r="AG350" s="364"/>
      <c r="AH350" s="364"/>
      <c r="AI350" s="982"/>
      <c r="AJ350" s="983"/>
      <c r="AK350" s="65"/>
      <c r="AL350" s="66">
        <v>35.200000000000003</v>
      </c>
      <c r="AM350" s="160">
        <v>1197</v>
      </c>
      <c r="AN350" s="854">
        <f t="shared" si="418"/>
        <v>58.320000000000007</v>
      </c>
      <c r="AO350" s="854">
        <f t="shared" si="419"/>
        <v>24.228395061728392</v>
      </c>
      <c r="AP350" s="180">
        <v>774</v>
      </c>
      <c r="AQ350" s="490">
        <f t="shared" si="336"/>
        <v>46527.440625000003</v>
      </c>
      <c r="AR350" s="76">
        <f t="shared" si="420"/>
        <v>965.55000000000291</v>
      </c>
      <c r="AS350" s="230">
        <f t="shared" si="421"/>
        <v>40.231250000000124</v>
      </c>
      <c r="AT350" s="208">
        <f t="shared" si="444"/>
        <v>621.31154901935963</v>
      </c>
      <c r="AU350" s="208"/>
      <c r="AV350" s="230">
        <f t="shared" si="445"/>
        <v>476.57081055980962</v>
      </c>
      <c r="AW350" s="855">
        <f t="shared" si="323"/>
        <v>0.68333333333333535</v>
      </c>
      <c r="AX350" s="66">
        <v>67.5</v>
      </c>
      <c r="AY350" s="66">
        <v>29.3</v>
      </c>
      <c r="AZ350" s="66">
        <v>0</v>
      </c>
      <c r="BA350" s="66">
        <v>39</v>
      </c>
      <c r="BB350" s="66">
        <v>55</v>
      </c>
      <c r="BC350" s="63"/>
      <c r="BD350" s="64"/>
      <c r="BE350" s="64"/>
      <c r="BF350" s="233"/>
      <c r="BG350" s="65"/>
      <c r="BH350" s="66"/>
      <c r="BI350" s="66"/>
      <c r="BJ350" s="66"/>
      <c r="BK350" s="66"/>
      <c r="BL350" s="86"/>
      <c r="BM350" s="86"/>
      <c r="BN350" s="63"/>
      <c r="BO350" s="981"/>
      <c r="BP350" s="981"/>
      <c r="BQ350" s="981"/>
      <c r="BR350" s="364"/>
      <c r="BS350" s="982"/>
      <c r="BT350" s="364"/>
      <c r="BU350" s="1008"/>
      <c r="BV350" s="65">
        <v>7.23</v>
      </c>
      <c r="BW350" s="66">
        <v>50.3</v>
      </c>
      <c r="BX350" s="66">
        <v>759</v>
      </c>
      <c r="BY350" s="159">
        <f t="shared" si="422"/>
        <v>32</v>
      </c>
      <c r="BZ350" s="159">
        <f t="shared" si="423"/>
        <v>23.3125</v>
      </c>
      <c r="CA350" s="76">
        <v>503</v>
      </c>
      <c r="CB350" s="490">
        <f t="shared" si="424"/>
        <v>50182.596875000003</v>
      </c>
      <c r="CC350" s="208">
        <f t="shared" si="425"/>
        <v>490.625</v>
      </c>
      <c r="CD350" s="208">
        <f t="shared" si="426"/>
        <v>20.442708333333332</v>
      </c>
      <c r="CE350" s="985">
        <f t="shared" si="446"/>
        <v>575.37616772753029</v>
      </c>
      <c r="CF350" s="585"/>
      <c r="CG350" s="180">
        <f>CC350/(AVERAGE(BY350)*AVERAGE((D$317,D$345,D$329,D$344,D$332,D$337,D$339,D$322,D$325,D$318))*0.01)</f>
        <v>441.3365356937249</v>
      </c>
      <c r="CH350" s="433">
        <f t="shared" si="427"/>
        <v>0.6576742627345844</v>
      </c>
      <c r="CI350" s="66">
        <v>67</v>
      </c>
      <c r="CJ350" s="66">
        <v>30.4</v>
      </c>
      <c r="CK350" s="66">
        <v>0</v>
      </c>
      <c r="CL350" s="66">
        <v>105</v>
      </c>
      <c r="CM350" s="66">
        <v>105</v>
      </c>
      <c r="CN350" s="110"/>
    </row>
    <row r="351" spans="1:112" s="337" customFormat="1" ht="28.5">
      <c r="A351" s="309">
        <f t="shared" si="412"/>
        <v>41506</v>
      </c>
      <c r="B351" s="310">
        <v>0.33333333333333298</v>
      </c>
      <c r="C351" s="311">
        <f t="shared" si="413"/>
        <v>23.999999999999993</v>
      </c>
      <c r="D351" s="318">
        <v>3.33</v>
      </c>
      <c r="E351" s="319">
        <v>74.27</v>
      </c>
      <c r="F351" s="319"/>
      <c r="G351" s="319">
        <v>5.81</v>
      </c>
      <c r="H351" s="319"/>
      <c r="I351" s="319"/>
      <c r="J351" s="317"/>
      <c r="K351" s="317"/>
      <c r="L351" s="320"/>
      <c r="M351" s="317">
        <v>50</v>
      </c>
      <c r="N351" s="319">
        <v>80</v>
      </c>
      <c r="O351" s="472"/>
      <c r="P351" s="763">
        <v>1050</v>
      </c>
      <c r="Q351" s="210">
        <f t="shared" ref="Q351" si="449">P351/((N351-M351)*N$4)</f>
        <v>6.9665605095541405</v>
      </c>
      <c r="R351" s="225">
        <f t="shared" ref="R351" si="450">10*Q351/(AVERAGE(D$261,D$262))</f>
        <v>23.144719300844322</v>
      </c>
      <c r="S351" s="317"/>
      <c r="T351" s="317"/>
      <c r="U351" s="757"/>
      <c r="V351" s="339">
        <v>2.13</v>
      </c>
      <c r="W351" s="365">
        <v>70.14</v>
      </c>
      <c r="X351" s="319"/>
      <c r="Y351" s="319"/>
      <c r="Z351" s="319"/>
      <c r="AA351" s="317"/>
      <c r="AB351" s="317"/>
      <c r="AC351" s="320"/>
      <c r="AD351" s="1029">
        <f>D345*(100-E345)/(100-W351)</f>
        <v>2.8807769591426653</v>
      </c>
      <c r="AE351" s="753">
        <f>D345-V351</f>
        <v>1.27</v>
      </c>
      <c r="AF351" s="864">
        <f>100*(AVERAGE(D$351,D$345,D$329,D$344,D$332,D$337,D$339,D$322,D$325,D$318)-V351)/AVERAGE(D$351,D$345,D$329,D$344,D$332,D$337,D$339,D$322,D$325,D$318)</f>
        <v>38.027349432644748</v>
      </c>
      <c r="AG351" s="864">
        <f>100*(1-((100-AVERAGE(E$351,E$345,E$329,E$344,E$332,E$337,E$339,E$322,E$325,E$318))/(100-W351)))</f>
        <v>21.53717347622236</v>
      </c>
      <c r="AH351" s="753">
        <f>E345-W351</f>
        <v>4.5600000000000023</v>
      </c>
      <c r="AI351" s="847">
        <f>100*(1-((V351*W351)/(AVERAGE(D$351,D$345,D$329,D$344,D$332,D$337,D$339,D$322,D$325,D$318)*AVERAGE(E$351,E$345,E$329,E$344,E$332,E$337,E$339,E$322,E$325,E$318))))</f>
        <v>43.232271868014024</v>
      </c>
      <c r="AJ351" s="847">
        <f>100*100*((AVERAGE(E$351,E$345,E$329,E$344,E$332,E$337,E$339,E$322,E$325,E$318)-W351)/((100-W351)*AVERAGE(E$351,E$345,E$329,E$344,E$332,E$337,E$339,E$322,E$325,E$318)))</f>
        <v>28.127063086837531</v>
      </c>
      <c r="AK351" s="318">
        <v>7.11</v>
      </c>
      <c r="AL351" s="319">
        <v>35.1</v>
      </c>
      <c r="AM351" s="452">
        <v>1226</v>
      </c>
      <c r="AN351" s="847">
        <f t="shared" si="418"/>
        <v>62.64</v>
      </c>
      <c r="AO351" s="847">
        <f t="shared" si="419"/>
        <v>22.557471264367816</v>
      </c>
      <c r="AP351" s="441">
        <v>791</v>
      </c>
      <c r="AQ351" s="490">
        <f t="shared" si="336"/>
        <v>47553.337500000001</v>
      </c>
      <c r="AR351" s="348">
        <f t="shared" si="420"/>
        <v>1025.896874999999</v>
      </c>
      <c r="AS351" s="512">
        <f t="shared" si="421"/>
        <v>42.745703124999949</v>
      </c>
      <c r="AT351" s="334">
        <f>AR351/(AVERAGE(AN351)*(AVERAGE(D$351,D$345,D$329,D$344,D$332,D$337,D$339,D$322,D$325,D$318))*AVERAGE(E$351,E$345,E$329,E$344,E$332,E$337,E$339,E$322,E$325,E$318)*0.0001)</f>
        <v>622.31190150736109</v>
      </c>
      <c r="AU351" s="334">
        <f>(AQ351-AQ345)/(AVERAGE(AN345:AN351)*((AVERAGE(D$351,D$345,D$329,D$344,D$332,D$337,D$339,D$322,D$325,D$318)*AVERAGE(E$351,E$345,E$329,E$344,E$332,E$337,E$339,E$322,E$325,E$318))-(V351*W351))*0.0001*(SUM(C345:C351)/24))</f>
        <v>1215.2476440566395</v>
      </c>
      <c r="AV351" s="512">
        <f>AR351/(AVERAGE(AN351)*AVERAGE(D$351,D$345,D$329,D$344,D$332,D$337,D$339,D$322,D$325,D$318)*0.01)</f>
        <v>476.51044610320145</v>
      </c>
      <c r="AW351" s="848">
        <f t="shared" si="323"/>
        <v>0.72604166666666592</v>
      </c>
      <c r="AX351" s="319">
        <v>71.2</v>
      </c>
      <c r="AY351" s="319">
        <v>28.7</v>
      </c>
      <c r="AZ351" s="319">
        <v>0</v>
      </c>
      <c r="BA351" s="319">
        <v>26</v>
      </c>
      <c r="BB351" s="319">
        <v>40</v>
      </c>
      <c r="BC351" s="320"/>
      <c r="BD351" s="368"/>
      <c r="BE351" s="368"/>
      <c r="BF351" s="471"/>
      <c r="BG351" s="339">
        <v>2.25</v>
      </c>
      <c r="BH351" s="365">
        <v>64.8</v>
      </c>
      <c r="BI351" s="319"/>
      <c r="BJ351" s="319"/>
      <c r="BK351" s="319"/>
      <c r="BL351" s="317"/>
      <c r="BM351" s="317"/>
      <c r="BN351" s="320"/>
      <c r="BO351" s="859">
        <f>D345*(100-E345)/(100-BH351)</f>
        <v>2.4437499999999992</v>
      </c>
      <c r="BP351" s="753">
        <f>D345-BG351</f>
        <v>1.1499999999999999</v>
      </c>
      <c r="BQ351" s="860">
        <f>100*(AVERAGE(D$351,D$345,D$329,D$344,D$332,D$337,D$339,D$322,D$325,D$318)-BG351)/AVERAGE(D$351,D$345,D$329,D$344,D$332,D$337,D$339,D$322,D$325,D$318)</f>
        <v>34.535932499272619</v>
      </c>
      <c r="BR351" s="861">
        <f>100*(1-((100-AVERAGE(E$351,E$345,E$329,E$344,E$332,E$337,E$339,E$322,E$325,E$318))/(100-BH351)))</f>
        <v>33.440340909090907</v>
      </c>
      <c r="BS351" s="858">
        <f>E345-BH351</f>
        <v>9.9000000000000057</v>
      </c>
      <c r="BT351" s="862">
        <f>100*(1-((BG351*BH351)/(AVERAGE(D$351,D$345,D$329,D$344,D$332,D$337,D$339,D$322,D$325,D$318)*AVERAGE(E$351,E$345,E$329,E$344,E$332,E$337,E$339,E$322,E$325,E$318))))</f>
        <v>44.599501455549309</v>
      </c>
      <c r="BU351" s="863">
        <f>100*100*((AVERAGE(E$351,E$345,E$329,E$344,E$332,E$337,E$339,E$322,E$325,E$318)-BH351)/((100-BH351)*AVERAGE(E$351,E$345,E$329,E$344,E$332,E$337,E$339,E$322,E$325,E$318)))</f>
        <v>43.672331442832025</v>
      </c>
      <c r="BV351" s="318">
        <v>7.21</v>
      </c>
      <c r="BW351" s="319">
        <v>50.7</v>
      </c>
      <c r="BX351" s="319">
        <v>775</v>
      </c>
      <c r="BY351" s="462">
        <f t="shared" si="422"/>
        <v>32.000000000000014</v>
      </c>
      <c r="BZ351" s="462">
        <f t="shared" si="423"/>
        <v>23.312499999999989</v>
      </c>
      <c r="CA351" s="334">
        <v>511</v>
      </c>
      <c r="CB351" s="348">
        <f t="shared" si="424"/>
        <v>50673.221875000003</v>
      </c>
      <c r="CC351" s="334">
        <f t="shared" si="425"/>
        <v>490.62500000000017</v>
      </c>
      <c r="CD351" s="334">
        <f t="shared" si="426"/>
        <v>20.442708333333339</v>
      </c>
      <c r="CE351" s="984">
        <f>CC351/(AVERAGE(BY350,BY351)*(AVERAGE(D$351,D$345,D$329,D$344,D$332,D$337,D$339,D$322,D$325,D$318))*AVERAGE(E$351,E$345,E$329,E$344,E$332,E$337,E$339,E$322,E$325,E$318)*0.0001)</f>
        <v>582.58036690610265</v>
      </c>
      <c r="CF351" s="441">
        <f>(CB351-CB345)/(AVERAGE(BY345:BY351)*((AVERAGE(D$351,D$345,D$329,D$344,D$332,D$337,D$339,D$322,D$325,D$318)*AVERAGE(E$351,E$345,E$329,E$344,E$332,E$337,E$339,E$322,E$325,E$318))-(BG351*BH351))*0.0001*(SUM(C345:C351)/24))</f>
        <v>1035.5844819612244</v>
      </c>
      <c r="CG351" s="441">
        <f>CC351/(AVERAGE(BY351)*AVERAGE((D$351,D$345,D$329,D$344,D$332,D$337,D$339,D$322,D$325,D$318))*0.01)</f>
        <v>446.0876127436718</v>
      </c>
      <c r="CH351" s="477">
        <f t="shared" si="427"/>
        <v>0.65767426273458462</v>
      </c>
      <c r="CI351" s="319">
        <v>69.5</v>
      </c>
      <c r="CJ351" s="319">
        <v>29.8</v>
      </c>
      <c r="CK351" s="319">
        <v>0</v>
      </c>
      <c r="CL351" s="319">
        <v>90</v>
      </c>
      <c r="CM351" s="319">
        <v>95</v>
      </c>
      <c r="CN351" s="442"/>
      <c r="CP351" s="337" t="s">
        <v>71</v>
      </c>
      <c r="CT351" s="469" t="s">
        <v>68</v>
      </c>
      <c r="CX351" s="469" t="s">
        <v>68</v>
      </c>
      <c r="CY351" s="337" t="s">
        <v>46</v>
      </c>
      <c r="DA351" s="337" t="s">
        <v>72</v>
      </c>
      <c r="DG351" s="469" t="s">
        <v>68</v>
      </c>
      <c r="DH351" s="337" t="s">
        <v>46</v>
      </c>
    </row>
    <row r="352" spans="1:112" ht="26.25" thickBot="1">
      <c r="A352" s="378">
        <f t="shared" si="412"/>
        <v>41507</v>
      </c>
      <c r="B352" s="663">
        <v>0.33333333333333298</v>
      </c>
      <c r="C352" s="304">
        <f t="shared" si="413"/>
        <v>24</v>
      </c>
      <c r="D352" s="65"/>
      <c r="E352" s="66"/>
      <c r="F352" s="66"/>
      <c r="G352" s="66"/>
      <c r="H352" s="66"/>
      <c r="I352" s="66"/>
      <c r="J352" s="86"/>
      <c r="K352" s="86"/>
      <c r="L352" s="63"/>
      <c r="M352" s="86"/>
      <c r="N352" s="66"/>
      <c r="O352" s="265"/>
      <c r="P352" s="224"/>
      <c r="Q352" s="210"/>
      <c r="R352" s="225"/>
      <c r="S352" s="86"/>
      <c r="T352" s="86"/>
      <c r="U352" s="232"/>
      <c r="V352" s="65"/>
      <c r="W352" s="66"/>
      <c r="X352" s="66"/>
      <c r="Y352" s="66"/>
      <c r="Z352" s="66"/>
      <c r="AA352" s="86"/>
      <c r="AB352" s="86"/>
      <c r="AC352" s="63"/>
      <c r="AD352" s="981"/>
      <c r="AE352" s="981"/>
      <c r="AF352" s="981"/>
      <c r="AG352" s="364"/>
      <c r="AH352" s="364"/>
      <c r="AI352" s="982"/>
      <c r="AJ352" s="983"/>
      <c r="AK352" s="65"/>
      <c r="AL352" s="66">
        <v>35</v>
      </c>
      <c r="AM352" s="160">
        <v>1253</v>
      </c>
      <c r="AN352" s="854">
        <f t="shared" si="418"/>
        <v>58.320000000000029</v>
      </c>
      <c r="AO352" s="854">
        <f t="shared" si="419"/>
        <v>24.228395061728381</v>
      </c>
      <c r="AP352" s="180">
        <v>807</v>
      </c>
      <c r="AQ352" s="490">
        <f t="shared" si="336"/>
        <v>48518.887500000004</v>
      </c>
      <c r="AR352" s="76">
        <f t="shared" si="420"/>
        <v>965.55000000000291</v>
      </c>
      <c r="AS352" s="230">
        <f t="shared" si="421"/>
        <v>40.231250000000124</v>
      </c>
      <c r="AT352" s="208">
        <f t="shared" ref="AT352" si="451">AR352/(AVERAGE(AN352)*(AVERAGE(D$351,D$345,D$329,D$344,D$332,D$337,D$339,D$322,D$325,D$318))*AVERAGE(E$351,E$345,E$329,E$344,E$332,E$337,E$339,E$322,E$325,E$318)*0.0001)</f>
        <v>629.09089825580952</v>
      </c>
      <c r="AU352" s="208"/>
      <c r="AV352" s="230">
        <f t="shared" ref="AV352" si="452">AR352/(AVERAGE(AN352)*AVERAGE(D$351,D$345,D$329,D$344,D$332,D$337,D$339,D$322,D$325,D$318)*0.01)</f>
        <v>481.70119170345595</v>
      </c>
      <c r="AW352" s="855">
        <f t="shared" si="323"/>
        <v>0.68333333333333535</v>
      </c>
      <c r="AX352" s="66"/>
      <c r="AY352" s="66"/>
      <c r="AZ352" s="66"/>
      <c r="BA352" s="66"/>
      <c r="BB352" s="66"/>
      <c r="BC352" s="63"/>
      <c r="BD352" s="64"/>
      <c r="BE352" s="64"/>
      <c r="BF352" s="233"/>
      <c r="BG352" s="65"/>
      <c r="BH352" s="66"/>
      <c r="BI352" s="66"/>
      <c r="BJ352" s="66"/>
      <c r="BK352" s="66"/>
      <c r="BL352" s="86"/>
      <c r="BM352" s="86"/>
      <c r="BN352" s="63"/>
      <c r="BO352" s="981"/>
      <c r="BP352" s="981"/>
      <c r="BQ352" s="1009"/>
      <c r="BR352" s="1010"/>
      <c r="BS352" s="1011"/>
      <c r="BT352" s="1012"/>
      <c r="BU352" s="1013"/>
      <c r="BV352" s="65"/>
      <c r="BW352" s="66">
        <v>50.4</v>
      </c>
      <c r="BX352" s="66">
        <v>792</v>
      </c>
      <c r="BY352" s="159">
        <f t="shared" si="422"/>
        <v>34</v>
      </c>
      <c r="BZ352" s="159">
        <f t="shared" si="423"/>
        <v>21.941176470588236</v>
      </c>
      <c r="CA352" s="208">
        <v>519</v>
      </c>
      <c r="CB352" s="490">
        <f t="shared" si="424"/>
        <v>51163.846875000003</v>
      </c>
      <c r="CC352" s="208">
        <f t="shared" si="425"/>
        <v>490.625</v>
      </c>
      <c r="CD352" s="208">
        <f t="shared" si="426"/>
        <v>20.442708333333332</v>
      </c>
      <c r="CE352" s="985">
        <f t="shared" ref="CE352" si="453">CC352/(AVERAGE(BY351,BY352)*(AVERAGE(D$351,D$345,D$329,D$344,D$332,D$337,D$339,D$322,D$325,D$318))*AVERAGE(E$351,E$345,E$329,E$344,E$332,E$337,E$339,E$322,E$325,E$318)*0.0001)</f>
        <v>564.92641639379633</v>
      </c>
      <c r="CF352" s="364"/>
      <c r="CG352" s="180">
        <f>CC352/(AVERAGE(BY352)*AVERAGE((D$351,D$345,D$329,D$344,D$332,D$337,D$339,D$322,D$325,D$318))*0.01)</f>
        <v>419.84716493522052</v>
      </c>
      <c r="CH352" s="433">
        <f t="shared" si="427"/>
        <v>0.6576742627345844</v>
      </c>
      <c r="CI352" s="66"/>
      <c r="CJ352" s="66"/>
      <c r="CK352" s="66"/>
      <c r="CL352" s="66"/>
      <c r="CM352" s="66"/>
      <c r="CN352" s="110"/>
      <c r="CP352" s="49" t="s">
        <v>6</v>
      </c>
      <c r="CQ352" s="49" t="s">
        <v>57</v>
      </c>
      <c r="CR352" s="49" t="s">
        <v>52</v>
      </c>
      <c r="CS352" s="49" t="s">
        <v>58</v>
      </c>
      <c r="CT352" s="49" t="s">
        <v>58</v>
      </c>
      <c r="CU352" s="49" t="s">
        <v>59</v>
      </c>
      <c r="CV352" s="49"/>
      <c r="CW352" s="49" t="s">
        <v>60</v>
      </c>
      <c r="CX352" s="49" t="s">
        <v>60</v>
      </c>
      <c r="CY352" s="49" t="s">
        <v>60</v>
      </c>
      <c r="CZ352" s="49" t="s">
        <v>6</v>
      </c>
      <c r="DA352" s="57" t="s">
        <v>57</v>
      </c>
      <c r="DB352" s="62" t="s">
        <v>52</v>
      </c>
      <c r="DC352" s="62" t="s">
        <v>58</v>
      </c>
      <c r="DD352" s="62" t="s">
        <v>58</v>
      </c>
      <c r="DE352" s="62" t="s">
        <v>59</v>
      </c>
      <c r="DF352" s="62" t="s">
        <v>60</v>
      </c>
      <c r="DG352" s="62" t="s">
        <v>60</v>
      </c>
      <c r="DH352" s="62" t="s">
        <v>60</v>
      </c>
    </row>
    <row r="353" spans="1:112" s="337" customFormat="1" ht="15.75" thickBot="1">
      <c r="A353" s="309">
        <f t="shared" si="412"/>
        <v>41508</v>
      </c>
      <c r="B353" s="310">
        <v>0.33333333333333298</v>
      </c>
      <c r="C353" s="311">
        <f t="shared" si="413"/>
        <v>24</v>
      </c>
      <c r="D353" s="339">
        <v>3.3</v>
      </c>
      <c r="E353" s="365">
        <v>74.2</v>
      </c>
      <c r="F353" s="313">
        <v>42300</v>
      </c>
      <c r="G353" s="319"/>
      <c r="H353" s="319"/>
      <c r="I353" s="313">
        <v>5155</v>
      </c>
      <c r="J353" s="317"/>
      <c r="K353" s="317"/>
      <c r="L353" s="320"/>
      <c r="M353" s="317"/>
      <c r="N353" s="319"/>
      <c r="O353" s="472"/>
      <c r="P353" s="763"/>
      <c r="Q353" s="764"/>
      <c r="R353" s="765"/>
      <c r="S353" s="317"/>
      <c r="T353" s="317"/>
      <c r="U353" s="757"/>
      <c r="V353" s="467">
        <v>2.4</v>
      </c>
      <c r="W353" s="452">
        <v>65.099999999999994</v>
      </c>
      <c r="X353" s="319">
        <v>23400</v>
      </c>
      <c r="Y353" s="319"/>
      <c r="Z353" s="319">
        <v>1448</v>
      </c>
      <c r="AA353" s="317"/>
      <c r="AB353" s="317"/>
      <c r="AC353" s="320"/>
      <c r="AD353" s="1029">
        <f>D351*(100-E351)/(100-W353)</f>
        <v>2.4550401146131802</v>
      </c>
      <c r="AE353" s="753">
        <f>D351-V353</f>
        <v>0.93000000000000016</v>
      </c>
      <c r="AF353" s="864">
        <f>100*(AVERAGE(D$351,D$345,D$329,D$344,D$332,D$337,D$339,D$322,D$325,D$353)-V353)/AVERAGE(D$351,D$345,D$329,D$344,D$332,D$337,D$339,D$322,D$325,D$353)</f>
        <v>28.931003849570622</v>
      </c>
      <c r="AG353" s="864">
        <f>100*(1-((100-AVERAGE(E$351,E$345,E$329,E$344,E$332,E$337,E$339,E$322,E$325,E$353))/(100-W353)))</f>
        <v>32.75358166189114</v>
      </c>
      <c r="AH353" s="753">
        <f>E351-W353</f>
        <v>9.1700000000000017</v>
      </c>
      <c r="AI353" s="847">
        <f>100*(1-((V353*W353)/(AVERAGE(D$351,D$345,D$329,D$344,D$332,D$337,D$339,D$322,D$325,D$353)*AVERAGE(E$351,E$345,E$329,E$344,E$332,E$337,E$339,E$322,E$325,E$353))))</f>
        <v>39.546175413976655</v>
      </c>
      <c r="AJ353" s="847">
        <f>100*100*((AVERAGE(E$351,E$345,E$329,E$344,E$332,E$337,E$339,E$322,E$325,E$353)-W353)/((100-W353)*AVERAGE(E$351,E$345,E$329,E$344,E$332,E$337,E$339,E$322,E$325,E$353)))</f>
        <v>42.797796529368675</v>
      </c>
      <c r="AK353" s="318"/>
      <c r="AL353" s="319">
        <v>35.200000000000003</v>
      </c>
      <c r="AM353" s="452">
        <v>1281</v>
      </c>
      <c r="AN353" s="847">
        <f t="shared" si="418"/>
        <v>60.480000000000004</v>
      </c>
      <c r="AO353" s="847">
        <f t="shared" si="419"/>
        <v>23.363095238095237</v>
      </c>
      <c r="AP353" s="441">
        <v>823</v>
      </c>
      <c r="AQ353" s="490">
        <f t="shared" si="336"/>
        <v>49484.4375</v>
      </c>
      <c r="AR353" s="348">
        <f t="shared" si="420"/>
        <v>965.54999999999563</v>
      </c>
      <c r="AS353" s="512">
        <f t="shared" si="421"/>
        <v>40.231249999999818</v>
      </c>
      <c r="AT353" s="334">
        <f>AR353/(AVERAGE(AN353)*(AVERAGE(D$351,D$345,D$329,D$344,D$332,D$337,D$339,D$322,D$325,D$353))*AVERAGE(E$351,E$345,E$329,E$344,E$332,E$337,E$339,E$322,E$325,E$353)*0.0001)</f>
        <v>617.72408808803516</v>
      </c>
      <c r="AU353" s="334">
        <f>(AQ353-AQ347)/(AVERAGE(AN347:AN353)*((AVERAGE(D$351,D$345,D$329,D$344,D$332,D$337,D$339,D$322,D$325,D$353)*AVERAGE(E$351,E$345,E$329,E$344,E$332,E$337,E$339,E$322,E$325,E$353))-(V353*W353))*0.0001*(SUM(C347:C353)/24))</f>
        <v>1352.8316653455934</v>
      </c>
      <c r="AV353" s="512">
        <f>AR353/(AVERAGE(AN353)*AVERAGE(D$351,D$345,D$329,D$344,D$332,D$337,D$339,D$322,D$325,D$353)*0.01)</f>
        <v>472.75042185465423</v>
      </c>
      <c r="AW353" s="848">
        <f t="shared" si="323"/>
        <v>0.68333333333333024</v>
      </c>
      <c r="AX353" s="319"/>
      <c r="AY353" s="319"/>
      <c r="AZ353" s="319"/>
      <c r="BA353" s="319"/>
      <c r="BB353" s="319"/>
      <c r="BC353" s="320"/>
      <c r="BD353" s="368"/>
      <c r="BE353" s="368"/>
      <c r="BF353" s="471"/>
      <c r="BG353" s="318">
        <v>2.5</v>
      </c>
      <c r="BH353" s="319">
        <v>62.9</v>
      </c>
      <c r="BI353" s="319">
        <v>20300</v>
      </c>
      <c r="BJ353" s="319"/>
      <c r="BK353" s="319">
        <v>2613</v>
      </c>
      <c r="BL353" s="317"/>
      <c r="BM353" s="317"/>
      <c r="BN353" s="320"/>
      <c r="BO353" s="859">
        <f>D351*(100-E351)/(100-BH353)</f>
        <v>2.3094582210242587</v>
      </c>
      <c r="BP353" s="753">
        <f>D351-BG353</f>
        <v>0.83000000000000007</v>
      </c>
      <c r="BQ353" s="860">
        <f>100*(AVERAGE(D$351,D$345,D$329,D$344,D$332,D$337,D$339,D$322,D$325,D$353)-BG353)/AVERAGE(D$351,D$345,D$329,D$344,D$332,D$337,D$339,D$322,D$325,D$353)</f>
        <v>25.96979567663606</v>
      </c>
      <c r="BR353" s="861">
        <f>100*(1-((100-AVERAGE(E$351,E$345,E$329,E$344,E$332,E$337,E$339,E$322,E$325,E$353))/(100-BH353)))</f>
        <v>36.741239892183309</v>
      </c>
      <c r="BS353" s="858">
        <f>E351-BH353</f>
        <v>11.369999999999997</v>
      </c>
      <c r="BT353" s="862">
        <f>100*(1-((BG353*BH353)/(AVERAGE(D$351,D$345,D$329,D$344,D$332,D$337,D$339,D$322,D$325,D$353)*AVERAGE(E$351,E$345,E$329,E$344,E$332,E$337,E$339,E$322,E$325,E$353))))</f>
        <v>39.155376880746473</v>
      </c>
      <c r="BU353" s="863">
        <f>100*100*((AVERAGE(E$351,E$345,E$329,E$344,E$332,E$337,E$339,E$322,E$325,E$353)-BH353)/((100-BH353)*AVERAGE(E$351,E$345,E$329,E$344,E$332,E$337,E$339,E$322,E$325,E$353)))</f>
        <v>48.008310217014419</v>
      </c>
      <c r="BV353" s="318"/>
      <c r="BW353" s="319">
        <v>50.5</v>
      </c>
      <c r="BX353" s="319">
        <v>807</v>
      </c>
      <c r="BY353" s="462">
        <f t="shared" si="422"/>
        <v>30</v>
      </c>
      <c r="BZ353" s="462">
        <f t="shared" si="423"/>
        <v>24.866666666666667</v>
      </c>
      <c r="CA353" s="334">
        <v>526</v>
      </c>
      <c r="CB353" s="348">
        <f t="shared" si="424"/>
        <v>51593.143750000003</v>
      </c>
      <c r="CC353" s="334">
        <f t="shared" si="425"/>
        <v>429.296875</v>
      </c>
      <c r="CD353" s="334">
        <f t="shared" si="426"/>
        <v>17.887369791666668</v>
      </c>
      <c r="CE353" s="984">
        <f>CC353/(AVERAGE(BY352,BY353)*(AVERAGE(D$351,D$345,D$329,D$344,D$332,D$337,D$339,D$322,D$325,D$353))*AVERAGE(E$351,E$345,E$329,E$344,E$332,E$337,E$339,E$322,E$325,E$353)*0.0001)</f>
        <v>519.08598103434599</v>
      </c>
      <c r="CF353" s="441">
        <f>(CB353-CB347)/(AVERAGE(BY347:BY353)*((AVERAGE(D$351,D$345,D$329,D$344,D$332,D$337,D$339,D$322,D$325,D$353)*AVERAGE(E$351,E$345,E$329,E$344,E$332,E$337,E$339,E$322,E$325,E$353))-(BG353*BH353))*0.0001*(SUM(C347:C353)/24))</f>
        <v>1190.4317131350188</v>
      </c>
      <c r="CG353" s="441">
        <f>CC353/(AVERAGE(BY353)*AVERAGE((D$351,D$345,D$329,D$344,D$332,D$337,D$339,D$322,D$325,D$353))*0.01)</f>
        <v>423.74580495508837</v>
      </c>
      <c r="CH353" s="477">
        <f t="shared" si="427"/>
        <v>0.57546497989276135</v>
      </c>
      <c r="CI353" s="319"/>
      <c r="CJ353" s="319"/>
      <c r="CK353" s="319"/>
      <c r="CL353" s="319"/>
      <c r="CM353" s="319"/>
      <c r="CN353" s="445"/>
      <c r="CP353" s="337" t="s">
        <v>64</v>
      </c>
      <c r="CQ353" s="571">
        <f>MIN(AR292:AR355)</f>
        <v>181.04062499999782</v>
      </c>
      <c r="CR353" s="571">
        <f>MIN(AS292:AS355)</f>
        <v>7.5433593749999091</v>
      </c>
      <c r="CS353" s="571">
        <f>MIN(AT292:AT355)</f>
        <v>234.95414351637902</v>
      </c>
      <c r="CT353" s="571" t="e">
        <f>MIN(#REF!)</f>
        <v>#REF!</v>
      </c>
      <c r="CU353" s="571">
        <f>MIN(AU292:AU355)</f>
        <v>892.5766270345182</v>
      </c>
      <c r="CV353" s="571"/>
      <c r="CW353" s="571">
        <f>MIN(AV292:AV355)</f>
        <v>178.39833163055144</v>
      </c>
      <c r="CX353" s="571" t="e">
        <f>MIN(#REF!)</f>
        <v>#REF!</v>
      </c>
      <c r="CY353" s="571" t="e">
        <f>MIN(#REF!)</f>
        <v>#REF!</v>
      </c>
      <c r="CZ353" s="571"/>
      <c r="DA353" s="571">
        <f>MIN(CC292:CC355)</f>
        <v>367.96875</v>
      </c>
      <c r="DB353" s="571">
        <f>MIN(CD292:CD355)</f>
        <v>15.33203125</v>
      </c>
      <c r="DC353" s="571">
        <f>MIN(CE292:CE355)</f>
        <v>431.53212579564769</v>
      </c>
      <c r="DD353" s="571" t="e">
        <f>MIN(#REF!)</f>
        <v>#REF!</v>
      </c>
      <c r="DE353" s="571">
        <f>MIN(CF292:CF355)</f>
        <v>1025.0291913982105</v>
      </c>
      <c r="DF353" s="571">
        <f>MIN(CG292:CG355)</f>
        <v>331.00240177029366</v>
      </c>
      <c r="DG353" s="571" t="e">
        <f>MIN(#REF!)</f>
        <v>#REF!</v>
      </c>
      <c r="DH353" s="571" t="e">
        <f>MIN(#REF!)</f>
        <v>#REF!</v>
      </c>
    </row>
    <row r="354" spans="1:112" s="69" customFormat="1" ht="15.75" thickBot="1">
      <c r="A354" s="378">
        <f t="shared" si="412"/>
        <v>41509</v>
      </c>
      <c r="B354" s="663">
        <v>0.33333333333333298</v>
      </c>
      <c r="C354" s="304">
        <f t="shared" si="413"/>
        <v>24</v>
      </c>
      <c r="D354" s="65"/>
      <c r="E354" s="66"/>
      <c r="F354" s="72"/>
      <c r="G354" s="66">
        <v>5.68</v>
      </c>
      <c r="H354" s="66"/>
      <c r="I354" s="72"/>
      <c r="J354" s="256"/>
      <c r="K354" s="256"/>
      <c r="L354" s="63"/>
      <c r="M354" s="157">
        <v>45</v>
      </c>
      <c r="N354" s="98">
        <v>85</v>
      </c>
      <c r="O354" s="268"/>
      <c r="P354" s="238">
        <v>1400</v>
      </c>
      <c r="Q354" s="210">
        <f t="shared" ref="Q354" si="454">P354/((N354-M354)*N$4)</f>
        <v>6.9665605095541396</v>
      </c>
      <c r="R354" s="225">
        <f t="shared" ref="R354" si="455">10*Q354/(AVERAGE(D$261,D$262))</f>
        <v>23.144719300844319</v>
      </c>
      <c r="S354" s="157"/>
      <c r="T354" s="157"/>
      <c r="U354" s="236"/>
      <c r="V354" s="65"/>
      <c r="W354" s="66"/>
      <c r="X354" s="76"/>
      <c r="Y354" s="66"/>
      <c r="Z354" s="72"/>
      <c r="AA354" s="256"/>
      <c r="AB354" s="256"/>
      <c r="AC354" s="63"/>
      <c r="AD354" s="993"/>
      <c r="AE354" s="994"/>
      <c r="AF354" s="995"/>
      <c r="AG354" s="990"/>
      <c r="AH354" s="996"/>
      <c r="AI354" s="994"/>
      <c r="AJ354" s="997"/>
      <c r="AK354" s="97"/>
      <c r="AL354" s="98">
        <v>35.200000000000003</v>
      </c>
      <c r="AM354" s="1017">
        <v>1309</v>
      </c>
      <c r="AN354" s="854">
        <f t="shared" si="418"/>
        <v>60.480000000000004</v>
      </c>
      <c r="AO354" s="854">
        <f t="shared" si="419"/>
        <v>23.363095238095237</v>
      </c>
      <c r="AP354" s="1027">
        <v>840</v>
      </c>
      <c r="AQ354" s="490">
        <f t="shared" si="336"/>
        <v>50510.334375000006</v>
      </c>
      <c r="AR354" s="76">
        <f t="shared" si="420"/>
        <v>1025.8968750000058</v>
      </c>
      <c r="AS354" s="230">
        <f t="shared" si="421"/>
        <v>42.74570312500024</v>
      </c>
      <c r="AT354" s="208">
        <f t="shared" ref="AT354:AT357" si="456">AR354/(AVERAGE(AN354)*(AVERAGE(D$351,D$345,D$329,D$344,D$332,D$337,D$339,D$322,D$325,D$353))*AVERAGE(E$351,E$345,E$329,E$344,E$332,E$337,E$339,E$322,E$325,E$353)*0.0001)</f>
        <v>656.33184359354402</v>
      </c>
      <c r="AU354" s="1017"/>
      <c r="AV354" s="230">
        <f t="shared" ref="AV354:AV357" si="457">AR354/(AVERAGE(AN354)*AVERAGE(D$351,D$345,D$329,D$344,D$332,D$337,D$339,D$322,D$325,D$353)*0.01)</f>
        <v>502.29732322057527</v>
      </c>
      <c r="AW354" s="855">
        <f t="shared" si="323"/>
        <v>0.7260416666666708</v>
      </c>
      <c r="AX354" s="98">
        <v>69.400000000000006</v>
      </c>
      <c r="AY354" s="98">
        <v>28.7</v>
      </c>
      <c r="AZ354" s="98">
        <v>0</v>
      </c>
      <c r="BA354" s="98">
        <v>81</v>
      </c>
      <c r="BB354" s="98">
        <v>70</v>
      </c>
      <c r="BC354" s="99"/>
      <c r="BD354" s="156"/>
      <c r="BE354" s="156"/>
      <c r="BF354" s="249"/>
      <c r="BG354" s="97"/>
      <c r="BH354" s="98"/>
      <c r="BI354" s="98"/>
      <c r="BJ354" s="98"/>
      <c r="BK354" s="98"/>
      <c r="BL354" s="256"/>
      <c r="BM354" s="256"/>
      <c r="BN354" s="99"/>
      <c r="BO354" s="993"/>
      <c r="BP354" s="994"/>
      <c r="BQ354" s="995"/>
      <c r="BR354" s="990"/>
      <c r="BS354" s="1006"/>
      <c r="BT354" s="996"/>
      <c r="BU354" s="1007"/>
      <c r="BV354" s="97"/>
      <c r="BW354" s="98">
        <v>50.6</v>
      </c>
      <c r="BX354" s="98">
        <v>823</v>
      </c>
      <c r="BY354" s="159">
        <f t="shared" si="422"/>
        <v>32</v>
      </c>
      <c r="BZ354" s="159">
        <f t="shared" si="423"/>
        <v>23.3125</v>
      </c>
      <c r="CA354" s="1025">
        <v>534</v>
      </c>
      <c r="CB354" s="490">
        <f t="shared" si="424"/>
        <v>52083.768750000003</v>
      </c>
      <c r="CC354" s="208">
        <f t="shared" si="425"/>
        <v>490.625</v>
      </c>
      <c r="CD354" s="208">
        <f t="shared" si="426"/>
        <v>20.442708333333332</v>
      </c>
      <c r="CE354" s="985">
        <f t="shared" ref="CE354:CE357" si="458">CC354/(AVERAGE(BY353,BY354)*(AVERAGE(D$351,D$345,D$329,D$344,D$332,D$337,D$339,D$322,D$325,D$353))*AVERAGE(E$351,E$345,E$329,E$344,E$332,E$337,E$339,E$322,E$325,E$353)*0.0001)</f>
        <v>612.37793154282281</v>
      </c>
      <c r="CF354" s="992"/>
      <c r="CG354" s="180">
        <f>CC354/(AVERAGE(BY354)*AVERAGE((D$351,D$345,D$329,D$344,D$332,D$337,D$339,D$322,D$325,D$353))*0.01)</f>
        <v>454.01336245188037</v>
      </c>
      <c r="CH354" s="433">
        <f t="shared" si="427"/>
        <v>0.6576742627345844</v>
      </c>
      <c r="CI354" s="98">
        <v>70.599999999999994</v>
      </c>
      <c r="CJ354" s="98">
        <v>29.3</v>
      </c>
      <c r="CK354" s="98">
        <v>0</v>
      </c>
      <c r="CL354" s="98">
        <v>114</v>
      </c>
      <c r="CM354" s="98">
        <v>105</v>
      </c>
      <c r="CN354" s="119"/>
      <c r="CP354" s="130" t="s">
        <v>69</v>
      </c>
      <c r="CQ354" s="129">
        <f>AVERAGE(AR292:AR355)</f>
        <v>1010.0896278784335</v>
      </c>
      <c r="CR354" s="129">
        <f>AVERAGE(AS292:AS355)</f>
        <v>42.087067828268069</v>
      </c>
      <c r="CS354" s="129">
        <f>AVERAGE(AT292:AT355)</f>
        <v>651.8434369563405</v>
      </c>
      <c r="CT354" s="129" t="e">
        <f>AVERAGE(#REF!)</f>
        <v>#REF!</v>
      </c>
      <c r="CU354" s="129">
        <f>AVERAGE(AU292:AU355)</f>
        <v>1275.1768815898522</v>
      </c>
      <c r="CV354" s="129"/>
      <c r="CW354" s="129">
        <f>AVERAGE(AV292:AV355)</f>
        <v>502.25750770775107</v>
      </c>
      <c r="CX354" s="129" t="e">
        <f>AVERAGE(#REF!)</f>
        <v>#REF!</v>
      </c>
      <c r="CY354" s="129" t="e">
        <f>AVERAGE(#REF!)</f>
        <v>#REF!</v>
      </c>
      <c r="CZ354" s="130"/>
      <c r="DA354" s="129">
        <f>AVERAGE(CC292:CC355)</f>
        <v>652.78956923151907</v>
      </c>
      <c r="DB354" s="129">
        <f>AVERAGE(CD292:CD355)</f>
        <v>27.199565384646618</v>
      </c>
      <c r="DC354" s="129">
        <f>AVERAGE(CE292:CE355)</f>
        <v>733.05184620123123</v>
      </c>
      <c r="DD354" s="129" t="e">
        <f>AVERAGE(#REF!)</f>
        <v>#REF!</v>
      </c>
      <c r="DE354" s="129">
        <f>AVERAGE(CF292:CF355)</f>
        <v>1338.8448095778549</v>
      </c>
      <c r="DF354" s="129">
        <f>AVERAGE(CG292:CG355)</f>
        <v>563.96631849403298</v>
      </c>
      <c r="DG354" s="129" t="e">
        <f>AVERAGE(#REF!)</f>
        <v>#REF!</v>
      </c>
      <c r="DH354" s="129" t="e">
        <f>AVERAGE(#REF!)</f>
        <v>#REF!</v>
      </c>
    </row>
    <row r="355" spans="1:112" s="138" customFormat="1" ht="15.75" thickBot="1">
      <c r="A355" s="378">
        <f t="shared" si="412"/>
        <v>41510</v>
      </c>
      <c r="B355" s="663">
        <v>0.33333333333333298</v>
      </c>
      <c r="C355" s="304">
        <f t="shared" si="413"/>
        <v>24</v>
      </c>
      <c r="D355" s="250"/>
      <c r="E355" s="206"/>
      <c r="F355" s="206"/>
      <c r="G355" s="206"/>
      <c r="H355" s="206"/>
      <c r="I355" s="206"/>
      <c r="J355" s="251"/>
      <c r="K355" s="251"/>
      <c r="L355" s="205"/>
      <c r="M355" s="251"/>
      <c r="N355" s="206"/>
      <c r="O355" s="265"/>
      <c r="P355" s="224"/>
      <c r="Q355" s="210"/>
      <c r="R355" s="225"/>
      <c r="S355" s="251"/>
      <c r="T355" s="251"/>
      <c r="U355" s="232"/>
      <c r="V355" s="250"/>
      <c r="W355" s="206"/>
      <c r="X355" s="206"/>
      <c r="Y355" s="206"/>
      <c r="Z355" s="206"/>
      <c r="AA355" s="251"/>
      <c r="AB355" s="251"/>
      <c r="AC355" s="205"/>
      <c r="AD355" s="998"/>
      <c r="AE355" s="998"/>
      <c r="AF355" s="998"/>
      <c r="AG355" s="999"/>
      <c r="AH355" s="999"/>
      <c r="AI355" s="1000"/>
      <c r="AJ355" s="1001"/>
      <c r="AK355" s="250"/>
      <c r="AL355" s="206">
        <v>35.1</v>
      </c>
      <c r="AM355" s="1017">
        <v>1337</v>
      </c>
      <c r="AN355" s="854">
        <f t="shared" si="418"/>
        <v>60.480000000000004</v>
      </c>
      <c r="AO355" s="854">
        <f t="shared" si="419"/>
        <v>23.363095238095237</v>
      </c>
      <c r="AP355" s="1028">
        <v>856</v>
      </c>
      <c r="AQ355" s="490">
        <f t="shared" si="336"/>
        <v>51475.884375000001</v>
      </c>
      <c r="AR355" s="76">
        <f t="shared" si="420"/>
        <v>965.54999999999563</v>
      </c>
      <c r="AS355" s="230">
        <f t="shared" si="421"/>
        <v>40.231249999999818</v>
      </c>
      <c r="AT355" s="208">
        <f t="shared" si="456"/>
        <v>617.72408808803516</v>
      </c>
      <c r="AU355" s="1018"/>
      <c r="AV355" s="230">
        <f t="shared" si="457"/>
        <v>472.75042185465423</v>
      </c>
      <c r="AW355" s="855">
        <f t="shared" ref="AW355:AW385" si="459">AR355/AQ$3</f>
        <v>0.68333333333333024</v>
      </c>
      <c r="AX355" s="206"/>
      <c r="AY355" s="206"/>
      <c r="AZ355" s="206"/>
      <c r="BA355" s="206"/>
      <c r="BB355" s="206"/>
      <c r="BC355" s="205"/>
      <c r="BD355" s="252"/>
      <c r="BE355" s="275"/>
      <c r="BF355" s="253"/>
      <c r="BG355" s="250"/>
      <c r="BH355" s="206"/>
      <c r="BI355" s="206"/>
      <c r="BJ355" s="206"/>
      <c r="BK355" s="206"/>
      <c r="BL355" s="251"/>
      <c r="BM355" s="251"/>
      <c r="BN355" s="205"/>
      <c r="BO355" s="998"/>
      <c r="BP355" s="998"/>
      <c r="BQ355" s="998"/>
      <c r="BR355" s="999"/>
      <c r="BS355" s="1000"/>
      <c r="BT355" s="999"/>
      <c r="BU355" s="1014"/>
      <c r="BV355" s="250"/>
      <c r="BW355" s="206">
        <v>50.4</v>
      </c>
      <c r="BX355" s="206">
        <v>843</v>
      </c>
      <c r="BY355" s="159">
        <f t="shared" si="422"/>
        <v>40</v>
      </c>
      <c r="BZ355" s="159">
        <f t="shared" si="423"/>
        <v>18.649999999999999</v>
      </c>
      <c r="CA355" s="1026">
        <v>543</v>
      </c>
      <c r="CB355" s="490">
        <f t="shared" si="424"/>
        <v>52635.721875000003</v>
      </c>
      <c r="CC355" s="208">
        <f t="shared" si="425"/>
        <v>551.953125</v>
      </c>
      <c r="CD355" s="208">
        <f t="shared" si="426"/>
        <v>22.998046875</v>
      </c>
      <c r="CE355" s="985">
        <f t="shared" si="458"/>
        <v>593.24112118210962</v>
      </c>
      <c r="CF355" s="852"/>
      <c r="CG355" s="180">
        <f>CC355/(AVERAGE(BY355)*AVERAGE((D$351,D$345,D$329,D$344,D$332,D$337,D$339,D$322,D$325,D$353))*0.01)</f>
        <v>408.61202620669241</v>
      </c>
      <c r="CH355" s="433">
        <f t="shared" si="427"/>
        <v>0.73988354557640745</v>
      </c>
      <c r="CI355" s="206"/>
      <c r="CJ355" s="206"/>
      <c r="CK355" s="206"/>
      <c r="CL355" s="206"/>
      <c r="CM355" s="206"/>
      <c r="CN355" s="137"/>
      <c r="CP355" s="69" t="s">
        <v>66</v>
      </c>
      <c r="CQ355" s="129">
        <f>MAX(AR292:AR355)</f>
        <v>1448.3250000000003</v>
      </c>
      <c r="CR355" s="129">
        <f>MAX(AS292:AS355)</f>
        <v>60.346875000000011</v>
      </c>
      <c r="CS355" s="129">
        <f>MAX(AT292:AT355)</f>
        <v>1177.3301115529368</v>
      </c>
      <c r="CT355" s="129" t="e">
        <f>MAX(#REF!)</f>
        <v>#REF!</v>
      </c>
      <c r="CU355" s="129">
        <f>MAX(AU292:AU355)</f>
        <v>1892.4773302736517</v>
      </c>
      <c r="CV355" s="129"/>
      <c r="CW355" s="129">
        <f>MAX(AV292:AV355)</f>
        <v>915.27851084740644</v>
      </c>
      <c r="CX355" s="129" t="e">
        <f>MAX(#REF!)</f>
        <v>#REF!</v>
      </c>
      <c r="CY355" s="129" t="e">
        <f>MAX(#REF!)</f>
        <v>#REF!</v>
      </c>
      <c r="CZ355" s="129"/>
      <c r="DA355" s="129">
        <f>MAX(CC292:CC355)</f>
        <v>981.25</v>
      </c>
      <c r="DB355" s="129">
        <f>MAX(CD292:CD355)</f>
        <v>40.885416666666664</v>
      </c>
      <c r="DC355" s="129">
        <f>MAX(CE292:CE355)</f>
        <v>1117.4648289193815</v>
      </c>
      <c r="DD355" s="129" t="e">
        <f>MAX(#REF!)</f>
        <v>#REF!</v>
      </c>
      <c r="DE355" s="129">
        <f>MAX(CF292:CF341)</f>
        <v>1897.979239609926</v>
      </c>
      <c r="DF355" s="129">
        <f>MAX(CG292:CG355)</f>
        <v>961.18055011362765</v>
      </c>
      <c r="DG355" s="129" t="e">
        <f>MAX(#REF!)</f>
        <v>#REF!</v>
      </c>
      <c r="DH355" s="129" t="e">
        <f>MAX(#REF!)</f>
        <v>#REF!</v>
      </c>
    </row>
    <row r="356" spans="1:112" s="140" customFormat="1" ht="15">
      <c r="A356" s="378">
        <f t="shared" si="412"/>
        <v>41511</v>
      </c>
      <c r="B356" s="663">
        <v>0.33333333333333298</v>
      </c>
      <c r="C356" s="304">
        <f t="shared" si="413"/>
        <v>24</v>
      </c>
      <c r="D356" s="219"/>
      <c r="E356" s="220"/>
      <c r="F356" s="220"/>
      <c r="G356" s="220"/>
      <c r="H356" s="220"/>
      <c r="I356" s="220"/>
      <c r="J356" s="243"/>
      <c r="K356" s="243"/>
      <c r="L356" s="221"/>
      <c r="M356" s="243">
        <v>60</v>
      </c>
      <c r="N356" s="220">
        <v>90</v>
      </c>
      <c r="O356" s="270"/>
      <c r="P356" s="219">
        <v>1050</v>
      </c>
      <c r="Q356" s="210">
        <f t="shared" ref="Q356" si="460">P356/((N356-M356)*N$4)</f>
        <v>6.9665605095541405</v>
      </c>
      <c r="R356" s="225">
        <f t="shared" ref="R356" si="461">10*Q356/(AVERAGE(D$261,D$262))</f>
        <v>23.144719300844322</v>
      </c>
      <c r="S356" s="219"/>
      <c r="T356" s="274"/>
      <c r="U356" s="254"/>
      <c r="V356" s="219"/>
      <c r="W356" s="220"/>
      <c r="X356" s="220"/>
      <c r="Y356" s="220"/>
      <c r="Z356" s="220"/>
      <c r="AA356" s="243"/>
      <c r="AB356" s="243"/>
      <c r="AC356" s="221"/>
      <c r="AD356" s="1002"/>
      <c r="AE356" s="1002"/>
      <c r="AF356" s="1002"/>
      <c r="AG356" s="1003"/>
      <c r="AH356" s="1003"/>
      <c r="AI356" s="1004"/>
      <c r="AJ356" s="1005"/>
      <c r="AK356" s="219"/>
      <c r="AL356" s="220">
        <v>35.4</v>
      </c>
      <c r="AM356" s="160">
        <v>1363</v>
      </c>
      <c r="AN356" s="854">
        <f t="shared" si="418"/>
        <v>56.160000000000004</v>
      </c>
      <c r="AO356" s="854">
        <f t="shared" si="419"/>
        <v>25.160256410256409</v>
      </c>
      <c r="AP356" s="180">
        <v>874</v>
      </c>
      <c r="AQ356" s="490">
        <f t="shared" si="336"/>
        <v>52562.128125000003</v>
      </c>
      <c r="AR356" s="76">
        <f t="shared" si="420"/>
        <v>1086.2437500000015</v>
      </c>
      <c r="AS356" s="230">
        <f t="shared" si="421"/>
        <v>45.260156250000058</v>
      </c>
      <c r="AT356" s="208">
        <f t="shared" si="456"/>
        <v>748.3964913374316</v>
      </c>
      <c r="AU356" s="1019"/>
      <c r="AV356" s="230">
        <f t="shared" si="457"/>
        <v>572.75531878544984</v>
      </c>
      <c r="AW356" s="855">
        <f t="shared" si="459"/>
        <v>0.76875000000000104</v>
      </c>
      <c r="AX356" s="220"/>
      <c r="AY356" s="220"/>
      <c r="AZ356" s="220"/>
      <c r="BA356" s="220"/>
      <c r="BB356" s="220"/>
      <c r="BC356" s="221"/>
      <c r="BD356" s="64"/>
      <c r="BE356" s="64"/>
      <c r="BF356" s="233"/>
      <c r="BG356" s="219"/>
      <c r="BH356" s="220"/>
      <c r="BI356" s="220"/>
      <c r="BJ356" s="220"/>
      <c r="BK356" s="220"/>
      <c r="BL356" s="243"/>
      <c r="BM356" s="243"/>
      <c r="BN356" s="221"/>
      <c r="BO356" s="1002"/>
      <c r="BP356" s="1002"/>
      <c r="BQ356" s="1002"/>
      <c r="BR356" s="1003"/>
      <c r="BS356" s="1004"/>
      <c r="BT356" s="1003"/>
      <c r="BU356" s="1015"/>
      <c r="BV356" s="219"/>
      <c r="BW356" s="220">
        <v>50.5</v>
      </c>
      <c r="BX356" s="220">
        <v>856</v>
      </c>
      <c r="BY356" s="159">
        <f t="shared" si="422"/>
        <v>26</v>
      </c>
      <c r="BZ356" s="159">
        <f t="shared" si="423"/>
        <v>28.692307692307693</v>
      </c>
      <c r="CA356" s="180">
        <v>552</v>
      </c>
      <c r="CB356" s="490">
        <f t="shared" si="424"/>
        <v>53187.675000000003</v>
      </c>
      <c r="CC356" s="208">
        <f t="shared" si="425"/>
        <v>551.953125</v>
      </c>
      <c r="CD356" s="208">
        <f t="shared" si="426"/>
        <v>22.998046875</v>
      </c>
      <c r="CE356" s="985">
        <f t="shared" si="458"/>
        <v>647.17213219866505</v>
      </c>
      <c r="CF356" s="1016"/>
      <c r="CG356" s="180">
        <f>CC356/(AVERAGE(BY356)*AVERAGE((D$351,D$345,D$329,D$344,D$332,D$337,D$339,D$322,D$325,D$353))*0.01)</f>
        <v>628.63388647183444</v>
      </c>
      <c r="CH356" s="433">
        <f t="shared" si="427"/>
        <v>0.73988354557640745</v>
      </c>
      <c r="CI356" s="220"/>
      <c r="CJ356" s="220"/>
      <c r="CK356" s="220"/>
      <c r="CL356" s="220"/>
      <c r="CM356" s="220"/>
      <c r="CN356" s="139"/>
    </row>
    <row r="357" spans="1:112" ht="15">
      <c r="A357" s="378">
        <f t="shared" si="412"/>
        <v>41512</v>
      </c>
      <c r="B357" s="663">
        <v>0.33333333333333298</v>
      </c>
      <c r="C357" s="304">
        <f t="shared" si="413"/>
        <v>24</v>
      </c>
      <c r="D357" s="65"/>
      <c r="E357" s="66"/>
      <c r="F357" s="66"/>
      <c r="G357" s="66"/>
      <c r="H357" s="66"/>
      <c r="I357" s="66"/>
      <c r="J357" s="86"/>
      <c r="K357" s="86"/>
      <c r="L357" s="63"/>
      <c r="M357" s="86"/>
      <c r="N357" s="86"/>
      <c r="O357" s="271"/>
      <c r="P357" s="224"/>
      <c r="Q357" s="210"/>
      <c r="R357" s="225"/>
      <c r="S357" s="86"/>
      <c r="T357" s="86"/>
      <c r="U357" s="178"/>
      <c r="V357" s="65"/>
      <c r="W357" s="66"/>
      <c r="X357" s="66"/>
      <c r="Y357" s="66"/>
      <c r="Z357" s="66"/>
      <c r="AA357" s="86"/>
      <c r="AB357" s="86"/>
      <c r="AC357" s="63"/>
      <c r="AD357" s="981"/>
      <c r="AE357" s="981"/>
      <c r="AF357" s="981"/>
      <c r="AG357" s="364"/>
      <c r="AH357" s="364"/>
      <c r="AI357" s="982"/>
      <c r="AJ357" s="983"/>
      <c r="AK357" s="65"/>
      <c r="AL357" s="66">
        <v>35.1</v>
      </c>
      <c r="AM357" s="160">
        <v>1394</v>
      </c>
      <c r="AN357" s="854">
        <f t="shared" si="418"/>
        <v>66.960000000000008</v>
      </c>
      <c r="AO357" s="854">
        <f t="shared" si="419"/>
        <v>21.102150537634405</v>
      </c>
      <c r="AP357" s="180">
        <v>892</v>
      </c>
      <c r="AQ357" s="490">
        <f t="shared" si="336"/>
        <v>53648.371875000004</v>
      </c>
      <c r="AR357" s="76">
        <f t="shared" si="420"/>
        <v>1086.2437500000015</v>
      </c>
      <c r="AS357" s="230">
        <f t="shared" si="421"/>
        <v>45.260156250000058</v>
      </c>
      <c r="AT357" s="208">
        <f t="shared" si="456"/>
        <v>627.68737983139431</v>
      </c>
      <c r="AU357" s="160"/>
      <c r="AV357" s="230">
        <f t="shared" si="457"/>
        <v>480.37542865876441</v>
      </c>
      <c r="AW357" s="855">
        <f t="shared" si="459"/>
        <v>0.76875000000000104</v>
      </c>
      <c r="AX357" s="66"/>
      <c r="AY357" s="66"/>
      <c r="AZ357" s="66"/>
      <c r="BA357" s="66"/>
      <c r="BB357" s="66"/>
      <c r="BC357" s="63"/>
      <c r="BD357" s="64"/>
      <c r="BE357" s="64"/>
      <c r="BF357" s="233"/>
      <c r="BG357" s="65"/>
      <c r="BH357" s="66"/>
      <c r="BI357" s="66"/>
      <c r="BJ357" s="66"/>
      <c r="BK357" s="66"/>
      <c r="BL357" s="86"/>
      <c r="BM357" s="86"/>
      <c r="BN357" s="63"/>
      <c r="BO357" s="981"/>
      <c r="BP357" s="981"/>
      <c r="BQ357" s="981"/>
      <c r="BR357" s="364"/>
      <c r="BS357" s="982"/>
      <c r="BT357" s="364"/>
      <c r="BU357" s="1008"/>
      <c r="BV357" s="65"/>
      <c r="BW357" s="66">
        <v>50.5</v>
      </c>
      <c r="BX357" s="66">
        <v>871</v>
      </c>
      <c r="BY357" s="159">
        <f t="shared" si="422"/>
        <v>30</v>
      </c>
      <c r="BZ357" s="159">
        <f t="shared" si="423"/>
        <v>24.866666666666667</v>
      </c>
      <c r="CA357" s="208">
        <v>562</v>
      </c>
      <c r="CB357" s="490">
        <f t="shared" si="424"/>
        <v>53800.956250000003</v>
      </c>
      <c r="CC357" s="208">
        <f t="shared" si="425"/>
        <v>613.28125</v>
      </c>
      <c r="CD357" s="208">
        <f t="shared" si="426"/>
        <v>25.553385416666668</v>
      </c>
      <c r="CE357" s="985">
        <f t="shared" si="458"/>
        <v>847.48731597444237</v>
      </c>
      <c r="CF357" s="585"/>
      <c r="CG357" s="180">
        <f>CC357/(AVERAGE(BY357)*AVERAGE((D$351,D$345,D$329,D$344,D$332,D$337,D$339,D$322,D$325,D$353))*0.01)</f>
        <v>605.35114993584057</v>
      </c>
      <c r="CH357" s="433">
        <f t="shared" si="427"/>
        <v>0.82209282841823061</v>
      </c>
      <c r="CI357" s="76"/>
      <c r="CJ357" s="76"/>
      <c r="CK357" s="76"/>
      <c r="CL357" s="76"/>
      <c r="CM357" s="76"/>
      <c r="CN357" s="110"/>
    </row>
    <row r="358" spans="1:112" s="337" customFormat="1" ht="15">
      <c r="A358" s="378">
        <f t="shared" si="412"/>
        <v>41513</v>
      </c>
      <c r="B358" s="663">
        <v>0.33333333333333298</v>
      </c>
      <c r="C358" s="304">
        <f t="shared" si="413"/>
        <v>24</v>
      </c>
      <c r="D358" s="339">
        <v>3.41</v>
      </c>
      <c r="E358" s="365">
        <v>78.02</v>
      </c>
      <c r="F358" s="319"/>
      <c r="G358" s="319">
        <v>5.26</v>
      </c>
      <c r="H358" s="319"/>
      <c r="I358" s="319"/>
      <c r="J358" s="317"/>
      <c r="K358" s="317"/>
      <c r="L358" s="320"/>
      <c r="M358" s="317"/>
      <c r="N358" s="317"/>
      <c r="O358" s="989"/>
      <c r="P358" s="763"/>
      <c r="Q358" s="764"/>
      <c r="R358" s="765"/>
      <c r="S358" s="952"/>
      <c r="T358" s="952"/>
      <c r="U358" s="413"/>
      <c r="V358" s="339">
        <v>2.09</v>
      </c>
      <c r="W358" s="365">
        <v>64.56</v>
      </c>
      <c r="X358" s="319"/>
      <c r="Y358" s="319"/>
      <c r="Z358" s="319"/>
      <c r="AA358" s="317"/>
      <c r="AB358" s="317"/>
      <c r="AC358" s="320"/>
      <c r="AD358" s="1029">
        <f>D353*(100-E353)/(100-W358)</f>
        <v>2.4023702031602707</v>
      </c>
      <c r="AE358" s="753">
        <f>D353-V358</f>
        <v>1.21</v>
      </c>
      <c r="AF358" s="864">
        <f>100*(AVERAGE(D$351,D$345,D$329,D$344,D$332,D$337,D$339,D$358,D$325,D$353)-V358)/AVERAGE(D$351,D$345,D$329,D$344,D$332,D$337,D$339,D$358,D$325,D$353)</f>
        <v>36.972255729794931</v>
      </c>
      <c r="AG358" s="864">
        <f>100*(1-((100-AVERAGE(E$351,E$345,E$329,E$344,E$332,E$337,E$339,E$358,E$325,E$353))/(100-W358)))</f>
        <v>33.718961625282176</v>
      </c>
      <c r="AH358" s="753">
        <f>E353-W358</f>
        <v>9.64</v>
      </c>
      <c r="AI358" s="847">
        <f>100*(1-((V358*W358)/(AVERAGE(D$351,D$345,D$329,D$344,D$332,D$337,D$339,D$358,D$325,D$353)*AVERAGE(E$351,E$345,E$329,E$344,E$332,E$337,E$339,E$358,E$325,E$353))))</f>
        <v>46.816479282650128</v>
      </c>
      <c r="AJ358" s="847">
        <f>100*100*((AVERAGE(E$351,E$345,E$329,E$344,E$332,E$337,E$339,E$358,E$325,E$353)-W358)/((100-W358)*AVERAGE(E$351,E$345,E$329,E$344,E$332,E$337,E$339,E$358,E$325,E$353)))</f>
        <v>44.071313064020615</v>
      </c>
      <c r="AK358" s="318">
        <v>7.19</v>
      </c>
      <c r="AL358" s="319">
        <v>35.1</v>
      </c>
      <c r="AM358" s="452">
        <v>1416</v>
      </c>
      <c r="AN358" s="847">
        <f t="shared" si="418"/>
        <v>47.52</v>
      </c>
      <c r="AO358" s="847">
        <f t="shared" si="419"/>
        <v>29.734848484848484</v>
      </c>
      <c r="AP358" s="441">
        <v>908</v>
      </c>
      <c r="AQ358" s="490">
        <f t="shared" si="336"/>
        <v>54613.921875000007</v>
      </c>
      <c r="AR358" s="348">
        <f t="shared" si="420"/>
        <v>965.55000000000291</v>
      </c>
      <c r="AS358" s="512">
        <f t="shared" si="421"/>
        <v>40.231250000000124</v>
      </c>
      <c r="AT358" s="208">
        <f>AR358/(AVERAGE(AN358)*(AVERAGE(D$351,D$345,D$329,D$344,D$332,D$337,D$339,D$358,D$325,D$353))*AVERAGE(E$351,E$345,E$329,E$344,E$332,E$337,E$339,E$358,E$325,E$353)*0.0001)</f>
        <v>800.87661425531667</v>
      </c>
      <c r="AU358" s="334">
        <f>(AQ358-AQ352)/(AVERAGE(AN352:AN358)*((AVERAGE(D$351,D$345,D$329,D$344,D$332,D$337,D$339,D$358,D$325,D$353)*AVERAGE(E$351,E$345,E$329,E$344,E$332,E$337,E$339,E$358,E$325,E$353))-(V358*W358))*0.0001*(SUM(C352:C358)/24))</f>
        <v>1250.3665095902381</v>
      </c>
      <c r="AV358" s="230">
        <f>AR358/(AVERAGE(AN358)*AVERAGE(D$351,D$345,D$329,D$344,D$332,D$337,D$339,D$358,D$325,D$353)*0.01)</f>
        <v>612.75069756674282</v>
      </c>
      <c r="AW358" s="848">
        <f t="shared" si="459"/>
        <v>0.68333333333333535</v>
      </c>
      <c r="AX358" s="319"/>
      <c r="AY358" s="319"/>
      <c r="AZ358" s="319"/>
      <c r="BA358" s="319"/>
      <c r="BB358" s="319"/>
      <c r="BC358" s="320"/>
      <c r="BD358" s="952"/>
      <c r="BE358" s="952"/>
      <c r="BF358" s="471"/>
      <c r="BG358" s="339">
        <v>2.2000000000000002</v>
      </c>
      <c r="BH358" s="365">
        <v>62.21</v>
      </c>
      <c r="BI358" s="319"/>
      <c r="BJ358" s="319"/>
      <c r="BK358" s="319"/>
      <c r="BL358" s="317"/>
      <c r="BM358" s="317"/>
      <c r="BN358" s="320"/>
      <c r="BO358" s="859">
        <f>D353*(100-E353)/(100-BH358)</f>
        <v>2.2529769780365174</v>
      </c>
      <c r="BP358" s="753">
        <f>D353-BG358</f>
        <v>1.0999999999999996</v>
      </c>
      <c r="BQ358" s="860">
        <f>100*(AVERAGE(D$351,D$345,D$329,D$344,D$332,D$337,D$339,D$358,D$325,D$353)-BG358)/AVERAGE(D$351,D$345,D$329,D$344,D$332,D$337,D$339,D$358,D$325,D$353)</f>
        <v>33.655006031363079</v>
      </c>
      <c r="BR358" s="861">
        <f>100*(1-((100-AVERAGE(E$351,E$345,E$329,E$344,E$332,E$337,E$339,E$358,E$325,E$353))/(100-BH358)))</f>
        <v>37.840698597512578</v>
      </c>
      <c r="BS358" s="858">
        <f>E353-BH358</f>
        <v>11.990000000000002</v>
      </c>
      <c r="BT358" s="862">
        <f>100*(1-((BG358*BH358)/(AVERAGE(D$351,D$345,D$329,D$344,D$332,D$337,D$339,D$358,D$325,D$353)*AVERAGE(E$351,E$345,E$329,E$344,E$332,E$337,E$339,E$358,E$325,E$353))))</f>
        <v>46.055129070854747</v>
      </c>
      <c r="BU358" s="863">
        <f>100*100*((AVERAGE(E$351,E$345,E$329,E$344,E$332,E$337,E$339,E$358,E$325,E$353)-BH358)/((100-BH358)*AVERAGE(E$351,E$345,E$329,E$344,E$332,E$337,E$339,E$358,E$325,E$353)))</f>
        <v>49.458500323503564</v>
      </c>
      <c r="BV358" s="318">
        <v>7.55</v>
      </c>
      <c r="BW358" s="319">
        <v>50.6</v>
      </c>
      <c r="BX358" s="319">
        <v>886</v>
      </c>
      <c r="BY358" s="462">
        <f t="shared" si="422"/>
        <v>30</v>
      </c>
      <c r="BZ358" s="462">
        <f t="shared" si="423"/>
        <v>24.866666666666667</v>
      </c>
      <c r="CA358" s="334">
        <v>573</v>
      </c>
      <c r="CB358" s="348">
        <f t="shared" si="424"/>
        <v>54475.565625000003</v>
      </c>
      <c r="CC358" s="334">
        <f t="shared" si="425"/>
        <v>674.609375</v>
      </c>
      <c r="CD358" s="334">
        <f t="shared" si="426"/>
        <v>28.108723958333332</v>
      </c>
      <c r="CE358" s="985">
        <f>CC358/(AVERAGE(BY357,BY358)*(AVERAGE(D$351,D$345,D$329,D$344,D$332,D$337,D$339,D$358,D$325,D$353))*AVERAGE(E$351,E$345,E$329,E$344,E$332,E$337,E$339,E$358,E$325,E$353)*0.0001)</f>
        <v>886.33600906914353</v>
      </c>
      <c r="CF358" s="441">
        <f>(CB358-CB352)/(AVERAGE(BY352:BY358)*((AVERAGE(D$351,D$345,D$329,D$344,D$332,D$337,D$339,D$358,D$325,D$353)*AVERAGE(E$351,E$345,E$329,E$344,E$332,E$337,E$339,E$358,E$325,E$353))-(BG358*BH358))*0.0001*(SUM(C352:C358)/24))</f>
        <v>1276.7026059981454</v>
      </c>
      <c r="CG358" s="180">
        <f>CC358/(AVERAGE(BY358)*AVERAGE((D$351,D$345,D$329,D$344,D$332,D$337,D$339,D$358,D$325,D$353))*0.01)</f>
        <v>678.13568053880181</v>
      </c>
      <c r="CH358" s="477">
        <f t="shared" si="427"/>
        <v>0.90430211126005366</v>
      </c>
      <c r="CI358" s="319"/>
      <c r="CJ358" s="319"/>
      <c r="CK358" s="319"/>
      <c r="CL358" s="319"/>
      <c r="CM358" s="319"/>
      <c r="CN358" s="442"/>
    </row>
    <row r="359" spans="1:112">
      <c r="A359" s="378">
        <f t="shared" si="412"/>
        <v>41514</v>
      </c>
      <c r="B359" s="663">
        <v>0.33333333333333298</v>
      </c>
      <c r="C359" s="304">
        <f t="shared" si="413"/>
        <v>24</v>
      </c>
      <c r="D359" s="65"/>
      <c r="E359" s="66"/>
      <c r="F359" s="66"/>
      <c r="G359" s="66"/>
      <c r="H359" s="66"/>
      <c r="I359" s="66"/>
      <c r="J359" s="86"/>
      <c r="K359" s="86"/>
      <c r="L359" s="63"/>
      <c r="M359" s="86"/>
      <c r="N359" s="66"/>
      <c r="O359" s="272"/>
      <c r="P359" s="65"/>
      <c r="Q359" s="66"/>
      <c r="R359" s="67"/>
      <c r="S359" s="86"/>
      <c r="T359" s="86"/>
      <c r="U359" s="178"/>
      <c r="V359" s="65"/>
      <c r="W359" s="66"/>
      <c r="X359" s="66"/>
      <c r="Y359" s="66"/>
      <c r="Z359" s="66"/>
      <c r="AA359" s="86"/>
      <c r="AB359" s="86"/>
      <c r="AC359" s="63"/>
      <c r="AD359" s="981"/>
      <c r="AE359" s="981"/>
      <c r="AF359" s="981"/>
      <c r="AG359" s="364"/>
      <c r="AH359" s="364"/>
      <c r="AI359" s="982"/>
      <c r="AJ359" s="983"/>
      <c r="AK359" s="65"/>
      <c r="AL359" s="66">
        <v>35.4</v>
      </c>
      <c r="AM359" s="160">
        <v>1447</v>
      </c>
      <c r="AN359" s="854">
        <f t="shared" ref="AN359:AN360" si="462">(AM359-AM358)*AQ$1/((C358)/24)</f>
        <v>66.960000000000008</v>
      </c>
      <c r="AO359" s="854">
        <f t="shared" ref="AO359:AO360" si="463">AQ$3/AN359</f>
        <v>21.102150537634405</v>
      </c>
      <c r="AP359" s="180">
        <v>922</v>
      </c>
      <c r="AQ359" s="490">
        <f t="shared" si="336"/>
        <v>55458.778125000004</v>
      </c>
      <c r="AR359" s="76">
        <f t="shared" si="420"/>
        <v>844.85624999999709</v>
      </c>
      <c r="AS359" s="230">
        <f t="shared" si="421"/>
        <v>35.202343749999876</v>
      </c>
      <c r="AT359" s="208">
        <f t="shared" ref="AT359" si="464">AR359/(AVERAGE(AN359)*(AVERAGE(D$351,D$345,D$329,D$344,D$332,D$337,D$339,D$358,D$325,D$353))*AVERAGE(E$351,E$345,E$329,E$344,E$332,E$337,E$339,E$358,E$325,E$353)*0.0001)</f>
        <v>497.31854272305628</v>
      </c>
      <c r="AU359" s="66"/>
      <c r="AV359" s="230">
        <f t="shared" ref="AV359" si="465">AR359/(AVERAGE(AN359)*AVERAGE(D$351,D$345,D$329,D$344,D$332,D$337,D$339,D$358,D$325,D$353)*0.01)</f>
        <v>380.49841703741038</v>
      </c>
      <c r="AW359" s="855">
        <f t="shared" si="459"/>
        <v>0.59791666666666465</v>
      </c>
      <c r="AX359" s="66"/>
      <c r="AY359" s="66"/>
      <c r="AZ359" s="66"/>
      <c r="BA359" s="66"/>
      <c r="BB359" s="66"/>
      <c r="BC359" s="63"/>
      <c r="BD359" s="64"/>
      <c r="BE359" s="64"/>
      <c r="BF359" s="233"/>
      <c r="BG359" s="65"/>
      <c r="BH359" s="66"/>
      <c r="BI359" s="66"/>
      <c r="BJ359" s="66"/>
      <c r="BK359" s="66"/>
      <c r="BL359" s="86"/>
      <c r="BM359" s="86"/>
      <c r="BN359" s="63"/>
      <c r="BO359" s="87"/>
      <c r="BP359" s="87"/>
      <c r="BQ359" s="87"/>
      <c r="BR359" s="66"/>
      <c r="BS359" s="64"/>
      <c r="BT359" s="66"/>
      <c r="BU359" s="67"/>
      <c r="BV359" s="65"/>
      <c r="BW359" s="66">
        <v>50.7</v>
      </c>
      <c r="BX359" s="66">
        <v>904</v>
      </c>
      <c r="BY359" s="159">
        <f t="shared" ref="BY359:BY360" si="466">(BX359-BX358)*CB$1/((C359)/24)</f>
        <v>36</v>
      </c>
      <c r="BZ359" s="159">
        <f t="shared" ref="BZ359:BZ360" si="467">CB$3/BY359</f>
        <v>20.722222222222221</v>
      </c>
      <c r="CA359" s="208">
        <v>583</v>
      </c>
      <c r="CB359" s="76">
        <f t="shared" si="424"/>
        <v>55088.846875000003</v>
      </c>
      <c r="CC359" s="208">
        <f t="shared" si="425"/>
        <v>613.28125</v>
      </c>
      <c r="CD359" s="208">
        <f t="shared" si="426"/>
        <v>25.553385416666668</v>
      </c>
      <c r="CE359" s="985">
        <f>CC359/(AVERAGE(BY358,BY359)*(AVERAGE(D$351,D$345,D$329,D$344,D$332,D$337,D$339,D$358,D$325,D$353))*AVERAGE(E$351,E$345,E$329,E$344,E$332,E$337,E$339,E$358,E$325,E$353)*0.0001)</f>
        <v>732.50909840425095</v>
      </c>
      <c r="CF359" s="76"/>
      <c r="CG359" s="180">
        <f>CC359/(AVERAGE(BY359)*AVERAGE((D$351,D$345,D$329,D$344,D$332,D$337,D$339,D$358,D$325,D$353))*0.01)</f>
        <v>513.7391519233347</v>
      </c>
      <c r="CH359" s="433">
        <f t="shared" si="427"/>
        <v>0.82209282841823061</v>
      </c>
      <c r="CI359" s="66"/>
      <c r="CJ359" s="66"/>
      <c r="CK359" s="66"/>
      <c r="CL359" s="66"/>
      <c r="CM359" s="66"/>
      <c r="CN359" s="110"/>
    </row>
    <row r="360" spans="1:112" s="1024" customFormat="1" ht="15">
      <c r="A360" s="309">
        <f t="shared" si="412"/>
        <v>41515</v>
      </c>
      <c r="B360" s="310">
        <v>0.33333333333333298</v>
      </c>
      <c r="C360" s="311">
        <f t="shared" si="413"/>
        <v>24</v>
      </c>
      <c r="D360" s="318">
        <v>3.1</v>
      </c>
      <c r="E360" s="330">
        <v>66.5</v>
      </c>
      <c r="F360" s="330">
        <v>32900</v>
      </c>
      <c r="G360" s="330"/>
      <c r="H360" s="330">
        <v>32.4</v>
      </c>
      <c r="I360" s="330">
        <v>3199</v>
      </c>
      <c r="J360" s="330">
        <v>1053</v>
      </c>
      <c r="K360" s="330">
        <v>44.2</v>
      </c>
      <c r="L360" s="330">
        <v>190</v>
      </c>
      <c r="M360" s="330">
        <v>50</v>
      </c>
      <c r="N360" s="330">
        <v>90</v>
      </c>
      <c r="O360" s="1021"/>
      <c r="P360" s="945">
        <v>1400</v>
      </c>
      <c r="Q360" s="210">
        <f t="shared" ref="Q360" si="468">P360/((N360-M360)*N$4)</f>
        <v>6.9665605095541396</v>
      </c>
      <c r="R360" s="225">
        <f t="shared" ref="R360" si="469">10*Q360/(AVERAGE(D$261,D$262))</f>
        <v>23.144719300844319</v>
      </c>
      <c r="S360" s="330"/>
      <c r="T360" s="330"/>
      <c r="U360" s="846"/>
      <c r="V360" s="1023">
        <v>2.2999999999999998</v>
      </c>
      <c r="W360" s="1023">
        <v>62.5</v>
      </c>
      <c r="X360" s="1023">
        <v>22600</v>
      </c>
      <c r="Y360" s="1023">
        <v>25.4</v>
      </c>
      <c r="Z360" s="1023">
        <v>1316</v>
      </c>
      <c r="AA360" s="1023">
        <v>306</v>
      </c>
      <c r="AB360" s="1023">
        <v>70.7</v>
      </c>
      <c r="AC360" s="1023">
        <v>134</v>
      </c>
      <c r="AD360" s="1029">
        <f>D358*(100-E358)/(100-W360)</f>
        <v>1.9987146666666673</v>
      </c>
      <c r="AE360" s="753">
        <f>D358-V360</f>
        <v>1.1100000000000003</v>
      </c>
      <c r="AF360" s="864">
        <f>100*(AVERAGE(D$351,D$345,D$329,D$344,D$332,D$337,D$339,D$358,D$360,D$353)-V360)/AVERAGE(D$351,D$345,D$329,D$344,D$332,D$337,D$339,D$358,D$360,D$353)</f>
        <v>28.482587064676625</v>
      </c>
      <c r="AG360" s="864">
        <f>100*(1-((100-AVERAGE(E$351,E$345,E$329,E$344,E$332,E$337,E$339,E$358,E$360,E$353))/(100-W360)))</f>
        <v>34.773333333333312</v>
      </c>
      <c r="AH360" s="753">
        <f>E358-W360</f>
        <v>15.519999999999996</v>
      </c>
      <c r="AI360" s="847">
        <f>100*(1-((V360*W360)/(AVERAGE(D$351,D$345,D$329,D$344,D$332,D$337,D$339,D$358,D$360,D$353)*AVERAGE(E$351,E$345,E$329,E$344,E$332,E$337,E$339,E$358,E$360,E$353))))</f>
        <v>40.828192898362303</v>
      </c>
      <c r="AJ360" s="847">
        <f>100*100*((AVERAGE(E$351,E$345,E$329,E$344,E$332,E$337,E$339,E$358,E$360,E$353)-W360)/((100-W360)*AVERAGE(E$351,E$345,E$329,E$344,E$332,E$337,E$339,E$358,E$360,E$353)))</f>
        <v>46.033006795516705</v>
      </c>
      <c r="AK360" s="318"/>
      <c r="AL360" s="319">
        <v>35.299999999999997</v>
      </c>
      <c r="AM360" s="452">
        <v>1476</v>
      </c>
      <c r="AN360" s="847">
        <f t="shared" si="462"/>
        <v>62.64</v>
      </c>
      <c r="AO360" s="847">
        <f t="shared" si="463"/>
        <v>22.557471264367816</v>
      </c>
      <c r="AP360" s="441">
        <v>933</v>
      </c>
      <c r="AQ360" s="490">
        <f t="shared" si="336"/>
        <v>56122.593750000007</v>
      </c>
      <c r="AR360" s="348">
        <f t="shared" si="420"/>
        <v>663.81562500000291</v>
      </c>
      <c r="AS360" s="512">
        <f t="shared" si="421"/>
        <v>27.65898437500012</v>
      </c>
      <c r="AT360" s="334">
        <f>AR360/(AVERAGE(AN360)*(AVERAGE(D$351,D$345,D$329,D$344,D$332,D$337,D$339,D$358,D$360,D$353))*AVERAGE(E$351,E$345,E$329,E$344,E$332,E$337,E$339,E$358,E$360,E$353)*0.0001)</f>
        <v>436.21711492646165</v>
      </c>
      <c r="AU360" s="334">
        <f>(AQ360-AQ354)/(AVERAGE(AN354:AN360)*((AVERAGE(D$351,D$345,D$329,D$344,D$332,D$337,D$339,D$358,D$360,D$353)*AVERAGE(E$351,E$345,E$329,E$344,E$332,E$337,E$339,E$358,E$360,E$353))-(V360*W360))*0.0001*(SUM(C354:C360)/24))</f>
        <v>1343.3716937346562</v>
      </c>
      <c r="AV360" s="512">
        <f>AR360/(AVERAGE(AN360)*AVERAGE(D$351,D$345,D$329,D$344,D$332,D$337,D$339,D$358,D$360,D$353)*0.01)</f>
        <v>329.51840861544912</v>
      </c>
      <c r="AW360" s="848">
        <f t="shared" si="459"/>
        <v>0.46979166666666872</v>
      </c>
      <c r="AX360" s="319"/>
      <c r="AY360" s="319"/>
      <c r="AZ360" s="319"/>
      <c r="BA360" s="319"/>
      <c r="BB360" s="319"/>
      <c r="BC360" s="320"/>
      <c r="BD360" s="1020"/>
      <c r="BE360" s="1020"/>
      <c r="BF360" s="471"/>
      <c r="BG360" s="318">
        <v>2.5</v>
      </c>
      <c r="BH360" s="319">
        <v>58.9</v>
      </c>
      <c r="BI360" s="319">
        <v>22600</v>
      </c>
      <c r="BJ360" s="319">
        <v>24.5</v>
      </c>
      <c r="BK360" s="319">
        <v>2389</v>
      </c>
      <c r="BL360" s="317">
        <v>413</v>
      </c>
      <c r="BM360" s="317">
        <v>74.2</v>
      </c>
      <c r="BN360" s="320">
        <v>121</v>
      </c>
      <c r="BO360" s="859">
        <f>D358*(100-E358)/(100-BH360)</f>
        <v>1.8236447688564481</v>
      </c>
      <c r="BP360" s="753">
        <f>D358-BG360</f>
        <v>0.91000000000000014</v>
      </c>
      <c r="BQ360" s="860">
        <f>100*(AVERAGE(D$351,D$345,D$329,D$344,D$332,D$337,D$339,D$358,D$360,D$353)-BG360)/AVERAGE(D$351,D$345,D$329,D$344,D$332,D$337,D$339,D$358,D$360,D$353)</f>
        <v>22.263681592039806</v>
      </c>
      <c r="BR360" s="861">
        <f>100*(1-((100-AVERAGE(E$351,E$345,E$329,E$344,E$332,E$337,E$339,E$358,E$360,E$353))/(100-BH360)))</f>
        <v>40.486618004866159</v>
      </c>
      <c r="BS360" s="858">
        <f>E358-BH360</f>
        <v>19.119999999999997</v>
      </c>
      <c r="BT360" s="862">
        <f>100*(1-((BG360*BH360)/(AVERAGE(D$351,D$345,D$329,D$344,D$332,D$337,D$339,D$358,D$360,D$353)*AVERAGE(E$351,E$345,E$329,E$344,E$332,E$337,E$339,E$358,E$360,E$353))))</f>
        <v>39.387488029800686</v>
      </c>
      <c r="BU360" s="863">
        <f>100*100*((AVERAGE(E$351,E$345,E$329,E$344,E$332,E$337,E$339,E$358,E$360,E$353)-BH360)/((100-BH360)*AVERAGE(E$351,E$345,E$329,E$344,E$332,E$337,E$339,E$358,E$360,E$353)))</f>
        <v>53.596264237312894</v>
      </c>
      <c r="BV360" s="318"/>
      <c r="BW360" s="319">
        <v>50.4</v>
      </c>
      <c r="BX360" s="319">
        <v>920</v>
      </c>
      <c r="BY360" s="462">
        <f t="shared" si="466"/>
        <v>32</v>
      </c>
      <c r="BZ360" s="462">
        <f t="shared" si="467"/>
        <v>23.3125</v>
      </c>
      <c r="CA360" s="334">
        <v>589</v>
      </c>
      <c r="CB360" s="348">
        <f t="shared" si="424"/>
        <v>55456.815625000003</v>
      </c>
      <c r="CC360" s="334">
        <f t="shared" si="425"/>
        <v>367.96875</v>
      </c>
      <c r="CD360" s="334">
        <f t="shared" si="426"/>
        <v>15.33203125</v>
      </c>
      <c r="CE360" s="984">
        <f>CC360/(AVERAGE(BY359,BY360)*(AVERAGE(D$351,D$345,D$329,D$344,D$332,D$337,D$339,D$358,D$360,D$353))*AVERAGE(E$351,E$345,E$329,E$344,E$332,E$337,E$339,E$358,E$360,E$353)*0.0001)</f>
        <v>445.49106689372366</v>
      </c>
      <c r="CF360" s="441">
        <f>(CB360-CB354)/(AVERAGE(BY354:BY360)*((AVERAGE(D$351,D$345,D$329,D$344,D$332,D$337,D$339,D$358,D$360,D$353)*AVERAGE(E$351,E$345,E$329,E$344,E$332,E$337,E$339,E$358,E$360,E$353))-(BG360*BH360))*0.0001*(SUM(C354:C360)/24))</f>
        <v>1559.7774331470282</v>
      </c>
      <c r="CG360" s="441">
        <f>CC360/(AVERAGE(BY360)*AVERAGE((D$351,D$345,D$329,D$344,D$332,D$337,D$339,D$358,D$360,D$353))*0.01)</f>
        <v>357.55669892723881</v>
      </c>
      <c r="CH360" s="477">
        <f t="shared" si="427"/>
        <v>0.49325569705093836</v>
      </c>
      <c r="CI360" s="319"/>
      <c r="CJ360" s="319"/>
      <c r="CK360" s="319"/>
      <c r="CL360" s="319"/>
      <c r="CM360" s="319"/>
      <c r="CN360" s="1023"/>
    </row>
    <row r="361" spans="1:112">
      <c r="A361" s="378">
        <f t="shared" si="412"/>
        <v>41516</v>
      </c>
      <c r="B361" s="663">
        <v>0.33333333333333298</v>
      </c>
      <c r="C361" s="304">
        <f t="shared" si="413"/>
        <v>24</v>
      </c>
      <c r="D361" s="65"/>
      <c r="E361" s="147"/>
      <c r="F361" s="147"/>
      <c r="G361" s="147"/>
      <c r="H361" s="147"/>
      <c r="I361" s="147"/>
      <c r="J361" s="147"/>
      <c r="K361" s="147"/>
      <c r="L361" s="147"/>
      <c r="M361" s="147"/>
      <c r="N361" s="147"/>
      <c r="O361" s="1022"/>
      <c r="P361" s="147"/>
      <c r="Q361" s="147"/>
      <c r="R361" s="147"/>
      <c r="S361" s="147"/>
      <c r="T361" s="147"/>
      <c r="U361" s="853"/>
      <c r="V361" s="147"/>
      <c r="W361" s="147"/>
      <c r="X361" s="147"/>
      <c r="Y361" s="147"/>
      <c r="Z361" s="147"/>
      <c r="AA361" s="147"/>
      <c r="AB361" s="147"/>
      <c r="AC361" s="147"/>
      <c r="AD361" s="87"/>
      <c r="AE361" s="87"/>
      <c r="AF361" s="87"/>
      <c r="AG361" s="66"/>
      <c r="AH361" s="66"/>
      <c r="AI361" s="64"/>
      <c r="AJ361" s="63"/>
      <c r="AK361" s="65"/>
      <c r="AL361" s="66">
        <v>35.299999999999997</v>
      </c>
      <c r="AM361" s="160">
        <v>1505</v>
      </c>
      <c r="AN361" s="854">
        <f t="shared" ref="AN361" si="470">(AM361-AM360)*AQ$1/((C360)/24)</f>
        <v>62.64</v>
      </c>
      <c r="AO361" s="854">
        <f t="shared" ref="AO361" si="471">AQ$3/AN361</f>
        <v>22.557471264367816</v>
      </c>
      <c r="AP361" s="180">
        <v>943</v>
      </c>
      <c r="AQ361" s="490">
        <f t="shared" si="336"/>
        <v>56726.062500000007</v>
      </c>
      <c r="AR361" s="76">
        <f t="shared" si="420"/>
        <v>603.46875</v>
      </c>
      <c r="AS361" s="230">
        <f t="shared" si="421"/>
        <v>25.14453125</v>
      </c>
      <c r="AT361" s="208">
        <f>AR361/(AVERAGE(AN361)*(AVERAGE(D$351,D$345,D$329,D$344,D$332,D$337,D$339,D$358,D$360,D$353))*AVERAGE(E$351,E$345,E$329,E$344,E$332,E$337,E$339,E$358,E$360,E$353)*0.0001)</f>
        <v>396.56101356950882</v>
      </c>
      <c r="AU361" s="66"/>
      <c r="AV361" s="230">
        <f>AR361/(AVERAGE(AN361)*AVERAGE(D$351,D$345,D$329,D$344,D$332,D$337,D$339,D$358,D$360,D$353)*0.01)</f>
        <v>299.56218965040699</v>
      </c>
      <c r="AW361" s="855">
        <f t="shared" si="459"/>
        <v>0.42708333333333331</v>
      </c>
      <c r="AX361" s="66"/>
      <c r="AY361" s="66"/>
      <c r="AZ361" s="66"/>
      <c r="BA361" s="66"/>
      <c r="BB361" s="66"/>
      <c r="BC361" s="63"/>
      <c r="BD361" s="255"/>
      <c r="BE361" s="255"/>
      <c r="BF361" s="233"/>
      <c r="BG361" s="65"/>
      <c r="BH361" s="66"/>
      <c r="BI361" s="66"/>
      <c r="BJ361" s="66"/>
      <c r="BK361" s="66"/>
      <c r="BL361" s="86"/>
      <c r="BM361" s="86"/>
      <c r="BN361" s="63"/>
      <c r="BO361" s="87"/>
      <c r="BP361" s="87"/>
      <c r="BQ361" s="87"/>
      <c r="BR361" s="66"/>
      <c r="BS361" s="64"/>
      <c r="BT361" s="66"/>
      <c r="BU361" s="67"/>
      <c r="BV361" s="65"/>
      <c r="BW361" s="66">
        <v>50.4</v>
      </c>
      <c r="BX361" s="66">
        <v>936</v>
      </c>
      <c r="BY361" s="159">
        <f t="shared" ref="BY361:BY378" si="472">(BX361-BX360)*CB$1/((C361)/24)</f>
        <v>32</v>
      </c>
      <c r="BZ361" s="159">
        <f t="shared" ref="BZ361:BZ378" si="473">CB$3/BY361</f>
        <v>23.3125</v>
      </c>
      <c r="CA361" s="208">
        <v>594</v>
      </c>
      <c r="CB361" s="76">
        <f t="shared" si="424"/>
        <v>55763.456250000003</v>
      </c>
      <c r="CC361" s="208">
        <f t="shared" si="425"/>
        <v>306.640625</v>
      </c>
      <c r="CD361" s="208">
        <f t="shared" si="426"/>
        <v>12.776692708333334</v>
      </c>
      <c r="CE361" s="985">
        <f>CC361/(AVERAGE(BY360,BY361)*(AVERAGE(D$351,D$345,D$329,D$344,D$332,D$337,D$339,D$358,D$360,D$353))*AVERAGE(E$351,E$345,E$329,E$344,E$332,E$337,E$339,E$358,E$360,E$353)*0.0001)</f>
        <v>394.44521547881789</v>
      </c>
      <c r="CF361" s="76"/>
      <c r="CG361" s="180">
        <f>CC361/(AVERAGE(BY361)*AVERAGE((D$351,D$345,D$329,D$344,D$332,D$337,D$339,D$358,D$360,D$353))*0.01)</f>
        <v>297.96391577269901</v>
      </c>
      <c r="CH361" s="433">
        <f t="shared" si="427"/>
        <v>0.41104641420911531</v>
      </c>
      <c r="CI361" s="66"/>
      <c r="CJ361" s="66"/>
      <c r="CK361" s="66"/>
      <c r="CL361" s="66"/>
      <c r="CM361" s="66"/>
      <c r="CN361" s="110"/>
    </row>
    <row r="362" spans="1:112" ht="15">
      <c r="A362" s="378">
        <f t="shared" si="412"/>
        <v>41517</v>
      </c>
      <c r="B362" s="663">
        <v>0.33333333333333298</v>
      </c>
      <c r="C362" s="304">
        <f t="shared" si="413"/>
        <v>24</v>
      </c>
      <c r="D362" s="65"/>
      <c r="E362" s="66"/>
      <c r="F362" s="66"/>
      <c r="G362" s="66"/>
      <c r="H362" s="66"/>
      <c r="I362" s="66"/>
      <c r="J362" s="86"/>
      <c r="K362" s="86"/>
      <c r="L362" s="63"/>
      <c r="M362" s="86">
        <v>55</v>
      </c>
      <c r="N362" s="66">
        <v>85</v>
      </c>
      <c r="O362" s="272"/>
      <c r="P362" s="224">
        <v>1050</v>
      </c>
      <c r="Q362" s="210">
        <f t="shared" ref="Q362" si="474">P362/((N362-M362)*N$4)</f>
        <v>6.9665605095541405</v>
      </c>
      <c r="R362" s="225">
        <f t="shared" ref="R362" si="475">10*Q362/(AVERAGE(D$261,D$262))</f>
        <v>23.144719300844322</v>
      </c>
      <c r="S362" s="86"/>
      <c r="T362" s="86"/>
      <c r="U362" s="178"/>
      <c r="V362" s="65"/>
      <c r="W362" s="66"/>
      <c r="X362" s="66"/>
      <c r="Y362" s="66"/>
      <c r="Z362" s="66"/>
      <c r="AA362" s="86"/>
      <c r="AB362" s="86"/>
      <c r="AC362" s="63"/>
      <c r="AD362" s="87"/>
      <c r="AE362" s="87"/>
      <c r="AF362" s="87"/>
      <c r="AG362" s="66"/>
      <c r="AH362" s="66"/>
      <c r="AI362" s="64"/>
      <c r="AJ362" s="63"/>
      <c r="AK362" s="65"/>
      <c r="AL362" s="66">
        <v>35.1</v>
      </c>
      <c r="AM362" s="160">
        <v>1531</v>
      </c>
      <c r="AN362" s="854">
        <f t="shared" ref="AN362:AN378" si="476">(AM362-AM361)*AQ$1/((C361)/24)</f>
        <v>56.160000000000004</v>
      </c>
      <c r="AO362" s="854">
        <f t="shared" ref="AO362:AO377" si="477">AQ$3/AN362</f>
        <v>25.160256410256409</v>
      </c>
      <c r="AP362" s="180">
        <v>954</v>
      </c>
      <c r="AQ362" s="490">
        <f t="shared" si="336"/>
        <v>57389.878125000003</v>
      </c>
      <c r="AR362" s="76">
        <f t="shared" ref="AR362:AR377" si="478">(AQ362-AQ361)/(C362/24)</f>
        <v>663.81562499999563</v>
      </c>
      <c r="AS362" s="230">
        <f t="shared" ref="AS362:AS377" si="479">(AQ362-AQ361)/C362</f>
        <v>27.658984374999818</v>
      </c>
      <c r="AT362" s="208">
        <f t="shared" ref="AT362:AT363" si="480">AR362/(AVERAGE(AN362)*(AVERAGE(D$351,D$345,D$329,D$344,D$332,D$337,D$339,D$358,D$360,D$353))*AVERAGE(E$351,E$345,E$329,E$344,E$332,E$337,E$339,E$358,E$360,E$353)*0.0001)</f>
        <v>486.54985895643256</v>
      </c>
      <c r="AU362" s="66"/>
      <c r="AV362" s="230">
        <f t="shared" ref="AV362:AV363" si="481">AR362/(AVERAGE(AN362)*AVERAGE(D$351,D$345,D$329,D$344,D$332,D$337,D$339,D$358,D$360,D$353)*0.01)</f>
        <v>367.53976345568918</v>
      </c>
      <c r="AW362" s="855">
        <f t="shared" si="459"/>
        <v>0.46979166666666355</v>
      </c>
      <c r="AX362" s="66"/>
      <c r="AY362" s="66"/>
      <c r="AZ362" s="66"/>
      <c r="BA362" s="66"/>
      <c r="BB362" s="66"/>
      <c r="BC362" s="63"/>
      <c r="BD362" s="64"/>
      <c r="BE362" s="64"/>
      <c r="BF362" s="233"/>
      <c r="BG362" s="65"/>
      <c r="BH362" s="66"/>
      <c r="BI362" s="66"/>
      <c r="BJ362" s="66"/>
      <c r="BK362" s="66"/>
      <c r="BL362" s="86"/>
      <c r="BM362" s="86"/>
      <c r="BN362" s="63"/>
      <c r="BO362" s="87"/>
      <c r="BP362" s="87"/>
      <c r="BQ362" s="87"/>
      <c r="BR362" s="66"/>
      <c r="BS362" s="64"/>
      <c r="BT362" s="66"/>
      <c r="BU362" s="67"/>
      <c r="BV362" s="65"/>
      <c r="BW362" s="66">
        <v>50.5</v>
      </c>
      <c r="BX362" s="66">
        <v>952</v>
      </c>
      <c r="BY362" s="159">
        <f t="shared" si="472"/>
        <v>32</v>
      </c>
      <c r="BZ362" s="159">
        <f t="shared" si="473"/>
        <v>23.3125</v>
      </c>
      <c r="CA362" s="208">
        <v>601</v>
      </c>
      <c r="CB362" s="76">
        <f t="shared" ref="CB362:CB385" si="482">((CA362-CA$55)*CB$2)+CB$55</f>
        <v>56192.753125000003</v>
      </c>
      <c r="CC362" s="208">
        <f t="shared" ref="CC362:CC378" si="483">(CB362-CB361)/((C362/24))</f>
        <v>429.296875</v>
      </c>
      <c r="CD362" s="208">
        <f t="shared" ref="CD362:CD378" si="484">(CB362-CB361)/(C362)</f>
        <v>17.887369791666668</v>
      </c>
      <c r="CE362" s="985">
        <f t="shared" ref="CE362:CE363" si="485">CC362/(AVERAGE(BY361,BY362)*(AVERAGE(D$351,D$345,D$329,D$344,D$332,D$337,D$339,D$358,D$360,D$353))*AVERAGE(E$351,E$345,E$329,E$344,E$332,E$337,E$339,E$358,E$360,E$353)*0.0001)</f>
        <v>552.22330167034499</v>
      </c>
      <c r="CF362" s="76"/>
      <c r="CG362" s="180">
        <f>CC362/(AVERAGE(BY362)*AVERAGE((D$351,D$345,D$329,D$344,D$332,D$337,D$339,D$358,D$360,D$353))*0.01)</f>
        <v>417.14948208177861</v>
      </c>
      <c r="CH362" s="433">
        <f t="shared" si="427"/>
        <v>0.57546497989276135</v>
      </c>
      <c r="CI362" s="66"/>
      <c r="CJ362" s="66"/>
      <c r="CK362" s="66"/>
      <c r="CL362" s="66"/>
      <c r="CM362" s="66"/>
      <c r="CN362" s="110"/>
    </row>
    <row r="363" spans="1:112" s="69" customFormat="1" ht="15">
      <c r="A363" s="378">
        <f t="shared" si="412"/>
        <v>41518</v>
      </c>
      <c r="B363" s="663">
        <v>0.33333333333333298</v>
      </c>
      <c r="C363" s="304">
        <f t="shared" si="413"/>
        <v>24</v>
      </c>
      <c r="D363" s="65"/>
      <c r="E363" s="66"/>
      <c r="F363" s="72"/>
      <c r="G363" s="72"/>
      <c r="H363" s="72"/>
      <c r="I363" s="72"/>
      <c r="J363" s="256"/>
      <c r="K363" s="256"/>
      <c r="L363" s="63"/>
      <c r="M363" s="86"/>
      <c r="N363" s="66"/>
      <c r="O363" s="272"/>
      <c r="P363" s="224"/>
      <c r="Q363" s="210"/>
      <c r="R363" s="225"/>
      <c r="S363" s="86"/>
      <c r="T363" s="86"/>
      <c r="U363" s="178"/>
      <c r="V363" s="65"/>
      <c r="W363" s="66"/>
      <c r="X363" s="76"/>
      <c r="Y363" s="66"/>
      <c r="Z363" s="72"/>
      <c r="AA363" s="256"/>
      <c r="AB363" s="256"/>
      <c r="AC363" s="63"/>
      <c r="AD363" s="93"/>
      <c r="AE363" s="83"/>
      <c r="AF363" s="88"/>
      <c r="AG363" s="85"/>
      <c r="AH363" s="75"/>
      <c r="AI363" s="83"/>
      <c r="AJ363" s="195"/>
      <c r="AK363" s="65"/>
      <c r="AL363" s="66">
        <v>35.299999999999997</v>
      </c>
      <c r="AM363" s="160">
        <v>1561</v>
      </c>
      <c r="AN363" s="854">
        <f t="shared" si="476"/>
        <v>64.800000000000011</v>
      </c>
      <c r="AO363" s="854">
        <f t="shared" si="477"/>
        <v>21.80555555555555</v>
      </c>
      <c r="AP363" s="180">
        <v>965</v>
      </c>
      <c r="AQ363" s="490">
        <f t="shared" si="336"/>
        <v>58053.693750000006</v>
      </c>
      <c r="AR363" s="76">
        <f t="shared" si="478"/>
        <v>663.81562500000291</v>
      </c>
      <c r="AS363" s="230">
        <f t="shared" si="479"/>
        <v>27.65898437500012</v>
      </c>
      <c r="AT363" s="208">
        <f t="shared" si="480"/>
        <v>421.67654442891285</v>
      </c>
      <c r="AU363" s="66"/>
      <c r="AV363" s="230">
        <f t="shared" si="481"/>
        <v>318.53446166160074</v>
      </c>
      <c r="AW363" s="855">
        <f t="shared" si="459"/>
        <v>0.46979166666666872</v>
      </c>
      <c r="AX363" s="66"/>
      <c r="AY363" s="66"/>
      <c r="AZ363" s="66"/>
      <c r="BA363" s="66"/>
      <c r="BB363" s="66"/>
      <c r="BC363" s="63"/>
      <c r="BD363" s="64"/>
      <c r="BE363" s="64"/>
      <c r="BF363" s="233"/>
      <c r="BG363" s="65"/>
      <c r="BH363" s="66"/>
      <c r="BI363" s="66"/>
      <c r="BJ363" s="66"/>
      <c r="BK363" s="66"/>
      <c r="BL363" s="256"/>
      <c r="BM363" s="256"/>
      <c r="BN363" s="63"/>
      <c r="BO363" s="93"/>
      <c r="BP363" s="83"/>
      <c r="BQ363" s="88"/>
      <c r="BR363" s="85"/>
      <c r="BS363" s="194"/>
      <c r="BT363" s="75"/>
      <c r="BU363" s="179"/>
      <c r="BV363" s="65"/>
      <c r="BW363" s="66">
        <v>50.7</v>
      </c>
      <c r="BX363" s="66">
        <v>955</v>
      </c>
      <c r="BY363" s="159">
        <f t="shared" si="472"/>
        <v>6</v>
      </c>
      <c r="BZ363" s="159">
        <f t="shared" si="473"/>
        <v>124.33333333333333</v>
      </c>
      <c r="CA363" s="208">
        <v>606</v>
      </c>
      <c r="CB363" s="76">
        <f t="shared" si="482"/>
        <v>56499.393750000003</v>
      </c>
      <c r="CC363" s="208">
        <f t="shared" si="483"/>
        <v>306.640625</v>
      </c>
      <c r="CD363" s="208">
        <f t="shared" si="484"/>
        <v>12.776692708333334</v>
      </c>
      <c r="CE363" s="985">
        <f t="shared" si="485"/>
        <v>664.32878396432477</v>
      </c>
      <c r="CF363" s="76"/>
      <c r="CG363" s="180">
        <f>CC363/(AVERAGE(BY363,BY364)*AVERAGE((D$351,D$345,D$329,D$344,D$332,D$337,D$339,D$358,D$360,D$353))*0.01)</f>
        <v>307.57565499117311</v>
      </c>
      <c r="CH363" s="433">
        <f t="shared" si="427"/>
        <v>0.41104641420911531</v>
      </c>
      <c r="CI363" s="66"/>
      <c r="CJ363" s="66"/>
      <c r="CK363" s="66"/>
      <c r="CL363" s="66"/>
      <c r="CM363" s="66"/>
      <c r="CN363" s="111"/>
    </row>
    <row r="364" spans="1:112" s="337" customFormat="1" ht="15">
      <c r="A364" s="378">
        <f t="shared" si="412"/>
        <v>41519</v>
      </c>
      <c r="B364" s="663">
        <v>0.33333333333333298</v>
      </c>
      <c r="C364" s="304">
        <f t="shared" si="413"/>
        <v>24</v>
      </c>
      <c r="D364" s="339">
        <v>2.5099999999999998</v>
      </c>
      <c r="E364" s="365">
        <v>71.73</v>
      </c>
      <c r="F364" s="319"/>
      <c r="G364" s="319">
        <v>6.7</v>
      </c>
      <c r="H364" s="319"/>
      <c r="I364" s="319"/>
      <c r="J364" s="317"/>
      <c r="K364" s="317"/>
      <c r="L364" s="320"/>
      <c r="M364" s="317"/>
      <c r="N364" s="319"/>
      <c r="O364" s="472"/>
      <c r="P364" s="318"/>
      <c r="Q364" s="764"/>
      <c r="R364" s="765"/>
      <c r="S364" s="317"/>
      <c r="T364" s="317"/>
      <c r="U364" s="413"/>
      <c r="V364" s="318">
        <v>2.11</v>
      </c>
      <c r="W364" s="319">
        <v>63.9</v>
      </c>
      <c r="X364" s="319"/>
      <c r="Y364" s="319"/>
      <c r="Z364" s="319"/>
      <c r="AA364" s="317"/>
      <c r="AB364" s="317"/>
      <c r="AC364" s="320"/>
      <c r="AD364" s="1029">
        <f>D360*(100-E360)/(100-W364)</f>
        <v>2.8767313019390581</v>
      </c>
      <c r="AE364" s="753">
        <f>D360-V364</f>
        <v>0.99000000000000021</v>
      </c>
      <c r="AF364" s="864">
        <f>100*(AVERAGE(D$351,D$345,D$364,D$344,D$332,D$337,D$339,D$358,D$360,D$353)-V364)/AVERAGE(D$351,D$345,D$364,D$344,D$332,D$337,D$339,D$358,D$360,D$353)</f>
        <v>32.306705165222979</v>
      </c>
      <c r="AG364" s="864">
        <f>100*(1-((100-AVERAGE(E$351,E$345,E$364,E$344,E$332,E$337,E$339,E$358,E$360,E$353))/(100-W364)))</f>
        <v>30.61772853185597</v>
      </c>
      <c r="AH364" s="753">
        <f>E360-W364</f>
        <v>2.6000000000000014</v>
      </c>
      <c r="AI364" s="847">
        <f>100*(1-((V364*W364)/(AVERAGE(D$351,D$345,D$364,D$344,D$332,D$337,D$339,D$358,D$360,D$353)*AVERAGE(E$351,E$345,E$364,E$344,E$332,E$337,E$339,E$358,E$360,E$353))))</f>
        <v>42.289147333098718</v>
      </c>
      <c r="AJ364" s="847">
        <f>100*100*((AVERAGE(E$351,E$345,E$364,E$344,E$332,E$337,E$339,E$358,E$360,E$353)-W364)/((100-W364)*AVERAGE(E$351,E$345,E$364,E$344,E$332,E$337,E$339,E$358,E$360,E$353)))</f>
        <v>40.849236897597116</v>
      </c>
      <c r="AK364" s="318">
        <v>7.12</v>
      </c>
      <c r="AL364" s="319">
        <v>34.299999999999997</v>
      </c>
      <c r="AM364" s="452">
        <v>1589</v>
      </c>
      <c r="AN364" s="854">
        <f t="shared" si="476"/>
        <v>60.480000000000004</v>
      </c>
      <c r="AO364" s="854">
        <f t="shared" si="477"/>
        <v>23.363095238095237</v>
      </c>
      <c r="AP364" s="441">
        <v>977</v>
      </c>
      <c r="AQ364" s="490">
        <f t="shared" si="336"/>
        <v>58777.856250000004</v>
      </c>
      <c r="AR364" s="76">
        <f t="shared" si="478"/>
        <v>724.16249999999854</v>
      </c>
      <c r="AS364" s="230">
        <f t="shared" si="479"/>
        <v>30.173437499999938</v>
      </c>
      <c r="AT364" s="208">
        <f>AR364/(AVERAGE(AN364)*(AVERAGE(D$351,D$345,D$364,D$344,D$332,D$337,D$339,D$358,D$360,D$353))*AVERAGE(E$351,E$345,E$364,E$344,E$332,E$337,E$339,E$358,E$360,E$353)*0.0001)</f>
        <v>512.50537748062607</v>
      </c>
      <c r="AU364" s="334">
        <f>(AQ364-AQ358)/(AVERAGE(AN358:AN364)*((AVERAGE(D$351,D$345,D$364,D$344,D$332,D$337,D$339,D$358,D$360,D$353)*AVERAGE(E$351,E$345,E$364,E$344,E$332,E$337,E$339,E$358,E$360,E$353))-(V364*W364))*0.0001*(SUM(C358:C364)/24))</f>
        <v>1000.6006084177056</v>
      </c>
      <c r="AV364" s="230">
        <f>AR364/(AVERAGE(AN364)*AVERAGE(D$351,D$345,D$364,D$344,D$332,D$337,D$339,D$358,D$360,D$353)*0.01)</f>
        <v>384.13815558305373</v>
      </c>
      <c r="AW364" s="855">
        <f t="shared" si="459"/>
        <v>0.51249999999999896</v>
      </c>
      <c r="AX364" s="319">
        <v>70.3</v>
      </c>
      <c r="AY364" s="319">
        <v>28.7</v>
      </c>
      <c r="AZ364" s="319">
        <v>0</v>
      </c>
      <c r="BA364" s="319">
        <v>44</v>
      </c>
      <c r="BB364" s="319">
        <v>50</v>
      </c>
      <c r="BC364" s="415"/>
      <c r="BD364" s="368"/>
      <c r="BE364" s="368"/>
      <c r="BF364" s="471"/>
      <c r="BG364" s="318">
        <v>2.23</v>
      </c>
      <c r="BH364" s="319">
        <v>61.21</v>
      </c>
      <c r="BI364" s="319"/>
      <c r="BJ364" s="319"/>
      <c r="BK364" s="319"/>
      <c r="BL364" s="317"/>
      <c r="BM364" s="317"/>
      <c r="BN364" s="320"/>
      <c r="BO364" s="859">
        <f>D360*(100-E360)/(100-BH364)</f>
        <v>2.677236401134313</v>
      </c>
      <c r="BP364" s="753">
        <f>D360-BG364</f>
        <v>0.87000000000000011</v>
      </c>
      <c r="BQ364" s="860">
        <f>100*(AVERAGE(D$351,D$345,D$364,D$344,D$332,D$337,D$339,D$358,D$360,D$353)-BG364)/AVERAGE(D$351,D$345,D$364,D$344,D$332,D$337,D$339,D$358,D$360,D$353)</f>
        <v>28.456849534809113</v>
      </c>
      <c r="BR364" s="861">
        <f>100*(1-((100-AVERAGE(E$351,E$345,E$364,E$344,E$332,E$337,E$339,E$358,E$360,E$353))/(100-BH364)))</f>
        <v>35.429234338747108</v>
      </c>
      <c r="BS364" s="858">
        <f>E360-BH364</f>
        <v>5.2899999999999991</v>
      </c>
      <c r="BT364" s="862">
        <f>100*(1-((BG364*BH364)/(AVERAGE(D$351,D$345,D$364,D$344,D$332,D$337,D$339,D$358,D$360,D$353)*AVERAGE(E$351,E$345,E$364,E$344,E$332,E$337,E$339,E$358,E$360,E$353))))</f>
        <v>41.574636906136718</v>
      </c>
      <c r="BU364" s="863">
        <f>100*100*((AVERAGE(E$351,E$345,E$364,E$344,E$332,E$337,E$339,E$358,E$360,E$353)-BH364)/((100-BH364)*AVERAGE(E$351,E$345,E$364,E$344,E$332,E$337,E$339,E$358,E$360,E$353)))</f>
        <v>47.26860077481502</v>
      </c>
      <c r="BV364" s="318">
        <v>7.18</v>
      </c>
      <c r="BW364" s="319">
        <v>48.1</v>
      </c>
      <c r="BX364" s="319">
        <v>983</v>
      </c>
      <c r="BY364" s="159">
        <f t="shared" si="472"/>
        <v>56</v>
      </c>
      <c r="BZ364" s="159">
        <f t="shared" si="473"/>
        <v>13.321428571428571</v>
      </c>
      <c r="CA364" s="334">
        <v>613</v>
      </c>
      <c r="CB364" s="76">
        <f t="shared" si="482"/>
        <v>56928.690625000003</v>
      </c>
      <c r="CC364" s="208">
        <f t="shared" si="483"/>
        <v>429.296875</v>
      </c>
      <c r="CD364" s="208">
        <f t="shared" si="484"/>
        <v>17.887369791666668</v>
      </c>
      <c r="CE364" s="985">
        <f>CC364/(AVERAGE(BY363,BY364)*(AVERAGE(D$351,D$345,D$364,D$344,D$332,D$337,D$339,D$358,D$360,D$353))*AVERAGE(E$351,E$345,E$364,E$344,E$332,E$337,E$339,E$358,E$360,E$353)*0.0001)</f>
        <v>592.74815491465142</v>
      </c>
      <c r="CF364" s="441">
        <f>(CB364-CB358)/(AVERAGE(BY358:BY364)*((AVERAGE(D$351,D$345,D$364,D$344,D$332,D$337,D$339,D$358,D$360,D$353)*AVERAGE(E$351,E$345,E$364,E$344,E$332,E$337,E$339,E$358,E$360,E$353))-(BG364*BH364))*0.0001*(SUM(C358:C364)/24))</f>
        <v>1127.502134259677</v>
      </c>
      <c r="CG364" s="180">
        <f>CC364/(AVERAGE(BY364)*AVERAGE((D$351,D$345,D$364,D$344,D$332,D$337,D$339,D$358,D$360,D$353))*0.01)</f>
        <v>245.94211180622395</v>
      </c>
      <c r="CH364" s="433">
        <f t="shared" si="427"/>
        <v>0.57546497989276135</v>
      </c>
      <c r="CI364" s="319">
        <v>70.400000000000006</v>
      </c>
      <c r="CJ364" s="319">
        <v>29.5</v>
      </c>
      <c r="CK364" s="319">
        <v>0</v>
      </c>
      <c r="CL364" s="319">
        <v>56</v>
      </c>
      <c r="CM364" s="319">
        <v>105</v>
      </c>
      <c r="CN364" s="442"/>
    </row>
    <row r="365" spans="1:112" ht="15">
      <c r="A365" s="378">
        <f t="shared" si="412"/>
        <v>41520</v>
      </c>
      <c r="B365" s="663">
        <v>0.33333333333333298</v>
      </c>
      <c r="C365" s="304">
        <f t="shared" si="413"/>
        <v>24</v>
      </c>
      <c r="D365" s="65"/>
      <c r="E365" s="66"/>
      <c r="F365" s="66"/>
      <c r="G365" s="66"/>
      <c r="H365" s="66"/>
      <c r="I365" s="66"/>
      <c r="J365" s="86"/>
      <c r="K365" s="86"/>
      <c r="L365" s="63"/>
      <c r="M365" s="86">
        <v>50</v>
      </c>
      <c r="N365" s="66">
        <v>80</v>
      </c>
      <c r="O365" s="265"/>
      <c r="P365" s="65">
        <v>1050</v>
      </c>
      <c r="Q365" s="210">
        <f t="shared" ref="Q365" si="486">P365/((N365-M365)*N$4)</f>
        <v>6.9665605095541405</v>
      </c>
      <c r="R365" s="225">
        <f t="shared" ref="R365" si="487">10*Q365/(AVERAGE(D$261,D$262))</f>
        <v>23.144719300844322</v>
      </c>
      <c r="S365" s="86"/>
      <c r="T365" s="86"/>
      <c r="U365" s="178"/>
      <c r="V365" s="65"/>
      <c r="W365" s="66"/>
      <c r="X365" s="66"/>
      <c r="Y365" s="66"/>
      <c r="Z365" s="66"/>
      <c r="AA365" s="86"/>
      <c r="AB365" s="86"/>
      <c r="AC365" s="63"/>
      <c r="AD365" s="87"/>
      <c r="AE365" s="87"/>
      <c r="AF365" s="87"/>
      <c r="AG365" s="66"/>
      <c r="AH365" s="66"/>
      <c r="AI365" s="64"/>
      <c r="AJ365" s="63"/>
      <c r="AK365" s="65"/>
      <c r="AL365" s="66">
        <v>35.200000000000003</v>
      </c>
      <c r="AM365" s="180">
        <v>1615</v>
      </c>
      <c r="AN365" s="208">
        <f t="shared" si="476"/>
        <v>56.160000000000004</v>
      </c>
      <c r="AO365" s="208">
        <f t="shared" si="477"/>
        <v>25.160256410256409</v>
      </c>
      <c r="AP365" s="180">
        <v>988</v>
      </c>
      <c r="AQ365" s="490">
        <f t="shared" si="336"/>
        <v>59441.671875000007</v>
      </c>
      <c r="AR365" s="76">
        <f t="shared" si="478"/>
        <v>663.81562500000291</v>
      </c>
      <c r="AS365" s="230">
        <f t="shared" si="479"/>
        <v>27.65898437500012</v>
      </c>
      <c r="AT365" s="208">
        <f t="shared" ref="AT365:AT371" si="488">AR365/(AVERAGE(AN365)*(AVERAGE(D$351,D$345,D$364,D$344,D$332,D$337,D$339,D$358,D$360,D$353))*AVERAGE(E$351,E$345,E$364,E$344,E$332,E$337,E$339,E$358,E$360,E$353)*0.0001)</f>
        <v>505.93479571805722</v>
      </c>
      <c r="AU365" s="66"/>
      <c r="AV365" s="230">
        <f t="shared" ref="AV365:AV371" si="489">AR365/(AVERAGE(AN365)*AVERAGE(D$351,D$345,D$364,D$344,D$332,D$337,D$339,D$358,D$360,D$353)*0.01)</f>
        <v>379.21330743455547</v>
      </c>
      <c r="AW365" s="855">
        <f t="shared" si="459"/>
        <v>0.46979166666666872</v>
      </c>
      <c r="AX365" s="66"/>
      <c r="AY365" s="66"/>
      <c r="AZ365" s="66"/>
      <c r="BA365" s="66"/>
      <c r="BB365" s="66"/>
      <c r="BC365" s="63"/>
      <c r="BD365" s="64"/>
      <c r="BE365" s="64"/>
      <c r="BF365" s="233"/>
      <c r="BG365" s="65"/>
      <c r="BH365" s="66"/>
      <c r="BI365" s="66"/>
      <c r="BJ365" s="66"/>
      <c r="BK365" s="66"/>
      <c r="BL365" s="86"/>
      <c r="BM365" s="86"/>
      <c r="BN365" s="63"/>
      <c r="BO365" s="981"/>
      <c r="BP365" s="981"/>
      <c r="BQ365" s="981"/>
      <c r="BR365" s="364"/>
      <c r="BS365" s="982"/>
      <c r="BT365" s="364"/>
      <c r="BU365" s="1008"/>
      <c r="BV365" s="65"/>
      <c r="BW365" s="66">
        <v>50.7</v>
      </c>
      <c r="BX365" s="66">
        <v>999</v>
      </c>
      <c r="BY365" s="159">
        <f t="shared" si="472"/>
        <v>32</v>
      </c>
      <c r="BZ365" s="159">
        <f t="shared" si="473"/>
        <v>23.3125</v>
      </c>
      <c r="CA365" s="208">
        <v>620</v>
      </c>
      <c r="CB365" s="76">
        <f t="shared" si="482"/>
        <v>57357.987500000003</v>
      </c>
      <c r="CC365" s="208">
        <f t="shared" si="483"/>
        <v>429.296875</v>
      </c>
      <c r="CD365" s="208">
        <f t="shared" si="484"/>
        <v>17.887369791666668</v>
      </c>
      <c r="CE365" s="985">
        <f>CC365/(AVERAGE(BY364,BY365)*(AVERAGE(D$351,D$345,D$364,D$344,D$332,D$337,D$339,D$358,D$360,D$353))*AVERAGE(E$351,E$345,E$364,E$344,E$332,E$337,E$339,E$358,E$360,E$353)*0.0001)</f>
        <v>417.61801823532255</v>
      </c>
      <c r="CF365" s="76"/>
      <c r="CG365" s="180">
        <f>CC365/(AVERAGE(BY365)*AVERAGE((D$351,D$345,D$364,D$344,D$332,D$337,D$339,D$358,D$360,D$353))*0.01)</f>
        <v>430.39869566089186</v>
      </c>
      <c r="CH365" s="433">
        <f t="shared" si="427"/>
        <v>0.57546497989276135</v>
      </c>
      <c r="CI365" s="66"/>
      <c r="CJ365" s="66"/>
      <c r="CK365" s="66"/>
      <c r="CL365" s="66"/>
      <c r="CM365" s="66"/>
      <c r="CN365" s="110"/>
    </row>
    <row r="366" spans="1:112" ht="15">
      <c r="A366" s="378">
        <f t="shared" si="412"/>
        <v>41521</v>
      </c>
      <c r="B366" s="663">
        <v>0.33333333333333298</v>
      </c>
      <c r="C366" s="304">
        <f t="shared" si="413"/>
        <v>24</v>
      </c>
      <c r="D366" s="65"/>
      <c r="E366" s="66"/>
      <c r="F366" s="66"/>
      <c r="G366" s="66"/>
      <c r="H366" s="66"/>
      <c r="I366" s="66"/>
      <c r="J366" s="86"/>
      <c r="K366" s="86"/>
      <c r="L366" s="63"/>
      <c r="M366" s="86"/>
      <c r="N366" s="66"/>
      <c r="O366" s="265"/>
      <c r="P366" s="224"/>
      <c r="Q366" s="210"/>
      <c r="R366" s="225"/>
      <c r="S366" s="86"/>
      <c r="T366" s="86"/>
      <c r="U366" s="178"/>
      <c r="V366" s="65"/>
      <c r="W366" s="66"/>
      <c r="X366" s="66"/>
      <c r="Y366" s="66"/>
      <c r="Z366" s="66"/>
      <c r="AA366" s="86"/>
      <c r="AB366" s="86"/>
      <c r="AC366" s="63"/>
      <c r="AD366" s="87"/>
      <c r="AE366" s="87"/>
      <c r="AF366" s="87"/>
      <c r="AG366" s="66"/>
      <c r="AH366" s="66"/>
      <c r="AI366" s="64"/>
      <c r="AJ366" s="63"/>
      <c r="AK366" s="65"/>
      <c r="AL366" s="66">
        <v>35.200000000000003</v>
      </c>
      <c r="AM366" s="180">
        <v>1645</v>
      </c>
      <c r="AN366" s="208">
        <f t="shared" si="476"/>
        <v>64.800000000000011</v>
      </c>
      <c r="AO366" s="208">
        <f t="shared" si="477"/>
        <v>21.80555555555555</v>
      </c>
      <c r="AP366" s="180">
        <v>999</v>
      </c>
      <c r="AQ366" s="490">
        <f t="shared" si="336"/>
        <v>60105.487500000003</v>
      </c>
      <c r="AR366" s="76">
        <f t="shared" si="478"/>
        <v>663.81562499999563</v>
      </c>
      <c r="AS366" s="230">
        <f t="shared" si="479"/>
        <v>27.658984374999818</v>
      </c>
      <c r="AT366" s="208">
        <f t="shared" si="488"/>
        <v>438.47682295564471</v>
      </c>
      <c r="AU366" s="66"/>
      <c r="AV366" s="230">
        <f t="shared" si="489"/>
        <v>328.65153310994441</v>
      </c>
      <c r="AW366" s="855">
        <f t="shared" si="459"/>
        <v>0.46979166666666355</v>
      </c>
      <c r="AX366" s="66"/>
      <c r="AY366" s="66"/>
      <c r="AZ366" s="66"/>
      <c r="BA366" s="66"/>
      <c r="BB366" s="66"/>
      <c r="BC366" s="63"/>
      <c r="BD366" s="64"/>
      <c r="BE366" s="64"/>
      <c r="BF366" s="233"/>
      <c r="BG366" s="65"/>
      <c r="BH366" s="66"/>
      <c r="BI366" s="66"/>
      <c r="BJ366" s="66"/>
      <c r="BK366" s="66"/>
      <c r="BL366" s="86"/>
      <c r="BM366" s="86"/>
      <c r="BN366" s="63"/>
      <c r="BO366" s="981"/>
      <c r="BP366" s="981"/>
      <c r="BQ366" s="981"/>
      <c r="BR366" s="364"/>
      <c r="BS366" s="982"/>
      <c r="BT366" s="364"/>
      <c r="BU366" s="1008"/>
      <c r="BV366" s="65"/>
      <c r="BW366" s="66">
        <v>50.6</v>
      </c>
      <c r="BX366" s="66">
        <v>1016</v>
      </c>
      <c r="BY366" s="159">
        <f t="shared" si="472"/>
        <v>34</v>
      </c>
      <c r="BZ366" s="159">
        <f t="shared" si="473"/>
        <v>21.941176470588236</v>
      </c>
      <c r="CA366" s="208">
        <v>627</v>
      </c>
      <c r="CB366" s="76">
        <f t="shared" si="482"/>
        <v>57787.284375000003</v>
      </c>
      <c r="CC366" s="208">
        <f t="shared" si="483"/>
        <v>429.296875</v>
      </c>
      <c r="CD366" s="208">
        <f t="shared" si="484"/>
        <v>17.887369791666668</v>
      </c>
      <c r="CE366" s="985">
        <f t="shared" ref="CE366:CE371" si="490">CC366/(AVERAGE(BY365,BY366)*(AVERAGE(D$351,D$345,D$364,D$344,D$332,D$337,D$339,D$358,D$360,D$353))*AVERAGE(E$351,E$345,E$364,E$344,E$332,E$337,E$339,E$358,E$360,E$353)*0.0001)</f>
        <v>556.8240243137634</v>
      </c>
      <c r="CF366" s="76"/>
      <c r="CG366" s="180">
        <f>CC366/(AVERAGE(BY366)*AVERAGE((D$351,D$345,D$364,D$344,D$332,D$337,D$339,D$358,D$360,D$353))*0.01)</f>
        <v>405.08112532789829</v>
      </c>
      <c r="CH366" s="433">
        <f t="shared" si="427"/>
        <v>0.57546497989276135</v>
      </c>
      <c r="CI366" s="66"/>
      <c r="CJ366" s="66"/>
      <c r="CK366" s="66"/>
      <c r="CL366" s="66"/>
      <c r="CM366" s="66"/>
      <c r="CN366" s="110"/>
    </row>
    <row r="367" spans="1:112" ht="15">
      <c r="A367" s="378">
        <f t="shared" si="412"/>
        <v>41522</v>
      </c>
      <c r="B367" s="663">
        <v>0.33333333333333298</v>
      </c>
      <c r="C367" s="304">
        <f t="shared" si="413"/>
        <v>24</v>
      </c>
      <c r="D367" s="65"/>
      <c r="E367" s="66"/>
      <c r="F367" s="66"/>
      <c r="G367" s="66"/>
      <c r="H367" s="66"/>
      <c r="I367" s="66"/>
      <c r="J367" s="86"/>
      <c r="K367" s="86"/>
      <c r="L367" s="63"/>
      <c r="M367" s="86"/>
      <c r="N367" s="66"/>
      <c r="O367" s="265"/>
      <c r="P367" s="224"/>
      <c r="Q367" s="210"/>
      <c r="R367" s="225"/>
      <c r="S367" s="86"/>
      <c r="T367" s="86"/>
      <c r="U367" s="178"/>
      <c r="V367" s="65"/>
      <c r="W367" s="66"/>
      <c r="X367" s="66"/>
      <c r="Y367" s="66"/>
      <c r="Z367" s="66"/>
      <c r="AA367" s="86"/>
      <c r="AB367" s="86"/>
      <c r="AC367" s="63"/>
      <c r="AD367" s="87"/>
      <c r="AE367" s="87"/>
      <c r="AF367" s="87"/>
      <c r="AG367" s="66"/>
      <c r="AH367" s="66"/>
      <c r="AI367" s="64"/>
      <c r="AJ367" s="63"/>
      <c r="AK367" s="65"/>
      <c r="AL367" s="66">
        <v>35.299999999999997</v>
      </c>
      <c r="AM367" s="72">
        <v>1670</v>
      </c>
      <c r="AN367" s="208">
        <f t="shared" si="476"/>
        <v>54</v>
      </c>
      <c r="AO367" s="208">
        <f t="shared" si="477"/>
        <v>26.166666666666668</v>
      </c>
      <c r="AP367" s="72">
        <v>1010</v>
      </c>
      <c r="AQ367" s="490">
        <f t="shared" si="336"/>
        <v>60769.303125000006</v>
      </c>
      <c r="AR367" s="76">
        <f t="shared" si="478"/>
        <v>663.81562500000291</v>
      </c>
      <c r="AS367" s="230">
        <f t="shared" si="479"/>
        <v>27.65898437500012</v>
      </c>
      <c r="AT367" s="208">
        <f t="shared" si="488"/>
        <v>526.17218754677947</v>
      </c>
      <c r="AU367" s="66"/>
      <c r="AV367" s="230">
        <f t="shared" si="489"/>
        <v>394.3818397319377</v>
      </c>
      <c r="AW367" s="855">
        <f t="shared" si="459"/>
        <v>0.46979166666666872</v>
      </c>
      <c r="AX367" s="66"/>
      <c r="AY367" s="66"/>
      <c r="AZ367" s="66"/>
      <c r="BA367" s="66"/>
      <c r="BB367" s="66"/>
      <c r="BC367" s="63"/>
      <c r="BD367" s="64"/>
      <c r="BE367" s="64"/>
      <c r="BF367" s="233"/>
      <c r="BG367" s="65"/>
      <c r="BH367" s="66"/>
      <c r="BI367" s="66"/>
      <c r="BJ367" s="66"/>
      <c r="BK367" s="66"/>
      <c r="BL367" s="86"/>
      <c r="BM367" s="86"/>
      <c r="BN367" s="63"/>
      <c r="BO367" s="981"/>
      <c r="BP367" s="981"/>
      <c r="BQ367" s="981"/>
      <c r="BR367" s="364"/>
      <c r="BS367" s="982"/>
      <c r="BT367" s="364"/>
      <c r="BU367" s="1008"/>
      <c r="BV367" s="65"/>
      <c r="BW367" s="66">
        <v>50.3</v>
      </c>
      <c r="BX367" s="66">
        <v>1032</v>
      </c>
      <c r="BY367" s="159">
        <f t="shared" si="472"/>
        <v>32</v>
      </c>
      <c r="BZ367" s="159">
        <f t="shared" si="473"/>
        <v>23.3125</v>
      </c>
      <c r="CA367" s="208">
        <v>634</v>
      </c>
      <c r="CB367" s="76">
        <f t="shared" si="482"/>
        <v>58216.581250000003</v>
      </c>
      <c r="CC367" s="208">
        <f t="shared" si="483"/>
        <v>429.296875</v>
      </c>
      <c r="CD367" s="208">
        <f t="shared" si="484"/>
        <v>17.887369791666668</v>
      </c>
      <c r="CE367" s="985">
        <f t="shared" si="490"/>
        <v>556.8240243137634</v>
      </c>
      <c r="CF367" s="76"/>
      <c r="CG367" s="180">
        <f>CC367/(AVERAGE(BY367)*AVERAGE((D$351,D$345,D$364,D$344,D$332,D$337,D$339,D$358,D$360,D$353))*0.01)</f>
        <v>430.39869566089186</v>
      </c>
      <c r="CH367" s="433">
        <f t="shared" si="427"/>
        <v>0.57546497989276135</v>
      </c>
      <c r="CI367" s="66"/>
      <c r="CJ367" s="66"/>
      <c r="CK367" s="66"/>
      <c r="CL367" s="66"/>
      <c r="CM367" s="66"/>
      <c r="CN367" s="110"/>
    </row>
    <row r="368" spans="1:112" s="69" customFormat="1" ht="15">
      <c r="A368" s="378">
        <f t="shared" si="412"/>
        <v>41523</v>
      </c>
      <c r="B368" s="663">
        <v>0.33333333333333298</v>
      </c>
      <c r="C368" s="304">
        <f t="shared" si="413"/>
        <v>24</v>
      </c>
      <c r="D368" s="65"/>
      <c r="E368" s="144"/>
      <c r="F368" s="72"/>
      <c r="G368" s="72"/>
      <c r="H368" s="72"/>
      <c r="I368" s="72"/>
      <c r="J368" s="256"/>
      <c r="K368" s="256"/>
      <c r="L368" s="63"/>
      <c r="M368" s="86"/>
      <c r="N368" s="66"/>
      <c r="O368" s="265"/>
      <c r="P368" s="224"/>
      <c r="Q368" s="210"/>
      <c r="R368" s="225"/>
      <c r="S368" s="86"/>
      <c r="T368" s="86"/>
      <c r="U368" s="178"/>
      <c r="V368" s="65"/>
      <c r="W368" s="66"/>
      <c r="X368" s="66"/>
      <c r="Y368" s="66"/>
      <c r="Z368" s="66"/>
      <c r="AA368" s="86"/>
      <c r="AB368" s="86"/>
      <c r="AC368" s="63"/>
      <c r="AD368" s="87"/>
      <c r="AE368" s="87"/>
      <c r="AF368" s="87"/>
      <c r="AG368" s="66"/>
      <c r="AH368" s="66"/>
      <c r="AI368" s="64"/>
      <c r="AJ368" s="63"/>
      <c r="AK368" s="65"/>
      <c r="AL368" s="66">
        <v>35.200000000000003</v>
      </c>
      <c r="AM368" s="72">
        <v>1689</v>
      </c>
      <c r="AN368" s="208">
        <f t="shared" si="476"/>
        <v>41.040000000000006</v>
      </c>
      <c r="AO368" s="208">
        <f t="shared" si="477"/>
        <v>34.429824561403507</v>
      </c>
      <c r="AP368" s="72">
        <v>1021</v>
      </c>
      <c r="AQ368" s="490">
        <f t="shared" si="336"/>
        <v>61433.118750000001</v>
      </c>
      <c r="AR368" s="76">
        <f t="shared" si="478"/>
        <v>663.81562499999563</v>
      </c>
      <c r="AS368" s="230">
        <f t="shared" si="479"/>
        <v>27.658984374999818</v>
      </c>
      <c r="AT368" s="208">
        <f t="shared" si="488"/>
        <v>692.33182571943905</v>
      </c>
      <c r="AU368" s="66"/>
      <c r="AV368" s="230">
        <f t="shared" si="489"/>
        <v>518.92347333149121</v>
      </c>
      <c r="AW368" s="855">
        <f t="shared" si="459"/>
        <v>0.46979166666666355</v>
      </c>
      <c r="AX368" s="66"/>
      <c r="AY368" s="66"/>
      <c r="AZ368" s="66"/>
      <c r="BA368" s="66"/>
      <c r="BB368" s="66"/>
      <c r="BC368" s="63"/>
      <c r="BD368" s="64"/>
      <c r="BE368" s="64"/>
      <c r="BF368" s="233"/>
      <c r="BG368" s="65"/>
      <c r="BH368" s="66"/>
      <c r="BI368" s="66"/>
      <c r="BJ368" s="66"/>
      <c r="BK368" s="66"/>
      <c r="BL368" s="256"/>
      <c r="BM368" s="256"/>
      <c r="BN368" s="63"/>
      <c r="BO368" s="981"/>
      <c r="BP368" s="981"/>
      <c r="BQ368" s="981"/>
      <c r="BR368" s="364"/>
      <c r="BS368" s="982"/>
      <c r="BT368" s="364"/>
      <c r="BU368" s="1008"/>
      <c r="BV368" s="65"/>
      <c r="BW368" s="66">
        <v>50.3</v>
      </c>
      <c r="BX368" s="66">
        <v>1048</v>
      </c>
      <c r="BY368" s="159">
        <f t="shared" si="472"/>
        <v>32</v>
      </c>
      <c r="BZ368" s="159">
        <f t="shared" si="473"/>
        <v>23.3125</v>
      </c>
      <c r="CA368" s="208">
        <v>641</v>
      </c>
      <c r="CB368" s="76">
        <f t="shared" si="482"/>
        <v>58645.878125000003</v>
      </c>
      <c r="CC368" s="208">
        <f t="shared" si="483"/>
        <v>429.296875</v>
      </c>
      <c r="CD368" s="208">
        <f t="shared" si="484"/>
        <v>17.887369791666668</v>
      </c>
      <c r="CE368" s="985">
        <f t="shared" si="490"/>
        <v>574.22477507356859</v>
      </c>
      <c r="CF368" s="76"/>
      <c r="CG368" s="180">
        <f>CC368/(AVERAGE(BY368)*AVERAGE((D$351,D$345,D$364,D$344,D$332,D$337,D$339,D$358,D$360,D$353))*0.01)</f>
        <v>430.39869566089186</v>
      </c>
      <c r="CH368" s="433">
        <f t="shared" si="427"/>
        <v>0.57546497989276135</v>
      </c>
      <c r="CI368" s="66"/>
      <c r="CJ368" s="66"/>
      <c r="CK368" s="66"/>
      <c r="CL368" s="66"/>
      <c r="CM368" s="66"/>
      <c r="CN368" s="111"/>
    </row>
    <row r="369" spans="1:112">
      <c r="A369" s="378">
        <f t="shared" si="412"/>
        <v>41524</v>
      </c>
      <c r="B369" s="663">
        <v>0.33333333333333298</v>
      </c>
      <c r="C369" s="304">
        <f t="shared" si="413"/>
        <v>24</v>
      </c>
      <c r="D369" s="65"/>
      <c r="E369" s="66"/>
      <c r="F369" s="66"/>
      <c r="G369" s="66"/>
      <c r="H369" s="66"/>
      <c r="I369" s="66"/>
      <c r="J369" s="86"/>
      <c r="K369" s="86"/>
      <c r="L369" s="63"/>
      <c r="M369" s="86"/>
      <c r="N369" s="66"/>
      <c r="O369" s="265"/>
      <c r="P369" s="65"/>
      <c r="Q369" s="66"/>
      <c r="R369" s="67"/>
      <c r="S369" s="86"/>
      <c r="T369" s="86"/>
      <c r="U369" s="178"/>
      <c r="V369" s="65"/>
      <c r="W369" s="66"/>
      <c r="X369" s="66"/>
      <c r="Y369" s="66"/>
      <c r="Z369" s="66"/>
      <c r="AA369" s="86"/>
      <c r="AB369" s="86"/>
      <c r="AC369" s="63"/>
      <c r="AD369" s="87"/>
      <c r="AE369" s="87"/>
      <c r="AF369" s="87"/>
      <c r="AG369" s="66"/>
      <c r="AH369" s="66"/>
      <c r="AI369" s="64"/>
      <c r="AJ369" s="63"/>
      <c r="AK369" s="65"/>
      <c r="AL369" s="66">
        <v>35.5</v>
      </c>
      <c r="AM369" s="72">
        <v>1699</v>
      </c>
      <c r="AN369" s="208">
        <f t="shared" si="476"/>
        <v>21.6</v>
      </c>
      <c r="AO369" s="208">
        <f t="shared" si="477"/>
        <v>65.416666666666657</v>
      </c>
      <c r="AP369" s="72">
        <v>1030</v>
      </c>
      <c r="AQ369" s="490">
        <f t="shared" si="336"/>
        <v>61976.240625000006</v>
      </c>
      <c r="AR369" s="76">
        <f t="shared" si="478"/>
        <v>543.12187500000437</v>
      </c>
      <c r="AS369" s="230">
        <f t="shared" si="479"/>
        <v>22.630078125000182</v>
      </c>
      <c r="AT369" s="208">
        <f>AR369/(AVERAGE(AN368,AN369)*(AVERAGE(D$351,D$345,D$364,D$344,D$332,D$337,D$339,D$358,D$360,D$353))*AVERAGE(E$351,E$345,E$364,E$344,E$332,E$337,E$339,E$358,E$360,E$353)*0.0001)</f>
        <v>742.24916738574177</v>
      </c>
      <c r="AU369" s="66"/>
      <c r="AV369" s="230">
        <f t="shared" si="489"/>
        <v>806.69012672442091</v>
      </c>
      <c r="AW369" s="855">
        <f t="shared" si="459"/>
        <v>0.38437500000000308</v>
      </c>
      <c r="AX369" s="66"/>
      <c r="AY369" s="66"/>
      <c r="AZ369" s="66"/>
      <c r="BA369" s="66"/>
      <c r="BB369" s="66"/>
      <c r="BC369" s="63"/>
      <c r="BD369" s="64"/>
      <c r="BE369" s="64"/>
      <c r="BF369" s="233"/>
      <c r="BG369" s="65"/>
      <c r="BH369" s="66"/>
      <c r="BI369" s="66"/>
      <c r="BJ369" s="66"/>
      <c r="BK369" s="66"/>
      <c r="BL369" s="86"/>
      <c r="BM369" s="86"/>
      <c r="BN369" s="63"/>
      <c r="BO369" s="981"/>
      <c r="BP369" s="981"/>
      <c r="BQ369" s="981"/>
      <c r="BR369" s="364"/>
      <c r="BS369" s="982"/>
      <c r="BT369" s="364"/>
      <c r="BU369" s="1008"/>
      <c r="BV369" s="65"/>
      <c r="BW369" s="66">
        <v>50.7</v>
      </c>
      <c r="BX369" s="66">
        <v>1064</v>
      </c>
      <c r="BY369" s="159">
        <f t="shared" si="472"/>
        <v>32</v>
      </c>
      <c r="BZ369" s="159">
        <f t="shared" si="473"/>
        <v>23.3125</v>
      </c>
      <c r="CA369" s="208">
        <v>649</v>
      </c>
      <c r="CB369" s="76">
        <f t="shared" si="482"/>
        <v>59136.503125000003</v>
      </c>
      <c r="CC369" s="208">
        <f t="shared" si="483"/>
        <v>490.625</v>
      </c>
      <c r="CD369" s="208">
        <f t="shared" si="484"/>
        <v>20.442708333333332</v>
      </c>
      <c r="CE369" s="985">
        <f t="shared" si="490"/>
        <v>656.25688579836401</v>
      </c>
      <c r="CF369" s="76"/>
      <c r="CG369" s="180">
        <f>CC369/(AVERAGE(BY369)*AVERAGE((D$351,D$345,D$364,D$344,D$332,D$337,D$339,D$358,D$360,D$353))*0.01)</f>
        <v>491.8842236124479</v>
      </c>
      <c r="CH369" s="433">
        <f t="shared" si="427"/>
        <v>0.6576742627345844</v>
      </c>
      <c r="CI369" s="66"/>
      <c r="CJ369" s="66"/>
      <c r="CK369" s="66"/>
      <c r="CL369" s="66"/>
      <c r="CM369" s="66"/>
      <c r="CN369" s="110"/>
    </row>
    <row r="370" spans="1:112" ht="28.5">
      <c r="A370" s="378">
        <f t="shared" si="412"/>
        <v>41525</v>
      </c>
      <c r="B370" s="663">
        <v>0.33333333333333298</v>
      </c>
      <c r="C370" s="304">
        <f t="shared" si="413"/>
        <v>24</v>
      </c>
      <c r="D370" s="65"/>
      <c r="E370" s="66"/>
      <c r="F370" s="66"/>
      <c r="G370" s="66"/>
      <c r="H370" s="66"/>
      <c r="I370" s="66"/>
      <c r="J370" s="86"/>
      <c r="K370" s="86"/>
      <c r="L370" s="63"/>
      <c r="M370" s="86"/>
      <c r="N370" s="66"/>
      <c r="O370" s="265"/>
      <c r="P370" s="224"/>
      <c r="Q370" s="210"/>
      <c r="R370" s="225"/>
      <c r="S370" s="86"/>
      <c r="T370" s="86"/>
      <c r="U370" s="178"/>
      <c r="V370" s="65"/>
      <c r="W370" s="66"/>
      <c r="X370" s="66"/>
      <c r="Y370" s="66"/>
      <c r="Z370" s="66"/>
      <c r="AA370" s="86"/>
      <c r="AB370" s="86"/>
      <c r="AC370" s="63"/>
      <c r="AD370" s="87"/>
      <c r="AE370" s="87"/>
      <c r="AF370" s="87"/>
      <c r="AG370" s="66"/>
      <c r="AH370" s="66"/>
      <c r="AI370" s="64"/>
      <c r="AJ370" s="63"/>
      <c r="AK370" s="65"/>
      <c r="AL370" s="66">
        <v>35.299999999999997</v>
      </c>
      <c r="AM370" s="72">
        <v>1735</v>
      </c>
      <c r="AN370" s="208">
        <f t="shared" si="476"/>
        <v>77.760000000000005</v>
      </c>
      <c r="AO370" s="208">
        <f t="shared" si="477"/>
        <v>18.171296296296294</v>
      </c>
      <c r="AP370" s="72">
        <v>1043</v>
      </c>
      <c r="AQ370" s="490">
        <f t="shared" ref="AQ370:AQ417" si="491">((AP370-AP$303)*AQ$2)</f>
        <v>62760.750000000007</v>
      </c>
      <c r="AR370" s="76">
        <f t="shared" si="478"/>
        <v>784.50937500000146</v>
      </c>
      <c r="AS370" s="230">
        <f t="shared" si="479"/>
        <v>32.687890625000058</v>
      </c>
      <c r="AT370" s="208">
        <f t="shared" si="488"/>
        <v>431.83323472904777</v>
      </c>
      <c r="AU370" s="66"/>
      <c r="AV370" s="230">
        <f t="shared" si="489"/>
        <v>323.67196442646315</v>
      </c>
      <c r="AW370" s="855">
        <f t="shared" si="459"/>
        <v>0.55520833333333441</v>
      </c>
      <c r="AX370" s="66"/>
      <c r="AY370" s="66"/>
      <c r="AZ370" s="66"/>
      <c r="BA370" s="66"/>
      <c r="BB370" s="66"/>
      <c r="BC370" s="63"/>
      <c r="BD370" s="64"/>
      <c r="BE370" s="64"/>
      <c r="BF370" s="233"/>
      <c r="BG370" s="65"/>
      <c r="BH370" s="66"/>
      <c r="BI370" s="66"/>
      <c r="BJ370" s="66"/>
      <c r="BK370" s="66"/>
      <c r="BL370" s="86"/>
      <c r="BM370" s="86"/>
      <c r="BN370" s="63"/>
      <c r="BO370" s="981"/>
      <c r="BP370" s="981"/>
      <c r="BQ370" s="981"/>
      <c r="BR370" s="364"/>
      <c r="BS370" s="982"/>
      <c r="BT370" s="364"/>
      <c r="BU370" s="1008"/>
      <c r="BV370" s="65"/>
      <c r="BW370" s="66">
        <v>50.4</v>
      </c>
      <c r="BX370" s="66">
        <v>1080</v>
      </c>
      <c r="BY370" s="159">
        <f t="shared" si="472"/>
        <v>32</v>
      </c>
      <c r="BZ370" s="159">
        <f t="shared" si="473"/>
        <v>23.3125</v>
      </c>
      <c r="CA370" s="208">
        <v>657</v>
      </c>
      <c r="CB370" s="76">
        <f t="shared" si="482"/>
        <v>59627.128125000003</v>
      </c>
      <c r="CC370" s="208">
        <f t="shared" si="483"/>
        <v>490.625</v>
      </c>
      <c r="CD370" s="208">
        <f t="shared" si="484"/>
        <v>20.442708333333332</v>
      </c>
      <c r="CE370" s="985">
        <f t="shared" si="490"/>
        <v>656.25688579836401</v>
      </c>
      <c r="CF370" s="76"/>
      <c r="CG370" s="180">
        <f>CC370/(AVERAGE(BY370)*AVERAGE((D$351,D$345,D$364,D$344,D$332,D$337,D$339,D$358,D$360,D$353))*0.01)</f>
        <v>491.8842236124479</v>
      </c>
      <c r="CH370" s="433">
        <f t="shared" si="427"/>
        <v>0.6576742627345844</v>
      </c>
      <c r="CI370" s="66"/>
      <c r="CJ370" s="66"/>
      <c r="CK370" s="66"/>
      <c r="CL370" s="66"/>
      <c r="CM370" s="66"/>
      <c r="CN370" s="110"/>
      <c r="CP370" s="69" t="s">
        <v>71</v>
      </c>
      <c r="CQ370" s="69"/>
      <c r="CR370" s="69"/>
      <c r="CS370" s="69"/>
      <c r="CT370" s="136" t="s">
        <v>68</v>
      </c>
      <c r="CU370" s="69"/>
      <c r="CV370" s="69"/>
      <c r="CW370" s="69"/>
      <c r="CX370" s="136" t="s">
        <v>68</v>
      </c>
      <c r="CY370" s="69" t="s">
        <v>46</v>
      </c>
      <c r="CZ370" s="69"/>
      <c r="DA370" s="69" t="s">
        <v>72</v>
      </c>
      <c r="DB370" s="69"/>
      <c r="DC370" s="69"/>
      <c r="DD370" s="69"/>
      <c r="DE370" s="69"/>
      <c r="DF370" s="69"/>
      <c r="DG370" s="136" t="s">
        <v>68</v>
      </c>
      <c r="DH370" s="69" t="s">
        <v>46</v>
      </c>
    </row>
    <row r="371" spans="1:112" ht="26.25" thickBot="1">
      <c r="A371" s="378">
        <f t="shared" si="412"/>
        <v>41526</v>
      </c>
      <c r="B371" s="663">
        <v>0.33333333333333298</v>
      </c>
      <c r="C371" s="304">
        <f t="shared" si="413"/>
        <v>24</v>
      </c>
      <c r="D371" s="65"/>
      <c r="E371" s="66"/>
      <c r="F371" s="66"/>
      <c r="G371" s="66"/>
      <c r="H371" s="66"/>
      <c r="I371" s="66"/>
      <c r="J371" s="86"/>
      <c r="K371" s="86"/>
      <c r="L371" s="63"/>
      <c r="M371" s="86"/>
      <c r="N371" s="66"/>
      <c r="O371" s="265"/>
      <c r="P371" s="209"/>
      <c r="Q371" s="212"/>
      <c r="R371" s="226"/>
      <c r="S371" s="86"/>
      <c r="T371" s="86"/>
      <c r="U371" s="178"/>
      <c r="V371" s="65"/>
      <c r="W371" s="66"/>
      <c r="X371" s="66"/>
      <c r="Y371" s="66"/>
      <c r="Z371" s="66"/>
      <c r="AA371" s="86"/>
      <c r="AB371" s="86"/>
      <c r="AC371" s="63"/>
      <c r="AD371" s="87"/>
      <c r="AE371" s="87"/>
      <c r="AF371" s="87"/>
      <c r="AG371" s="66"/>
      <c r="AH371" s="66"/>
      <c r="AI371" s="64"/>
      <c r="AJ371" s="63"/>
      <c r="AK371" s="65"/>
      <c r="AL371" s="66">
        <v>35.1</v>
      </c>
      <c r="AM371" s="72">
        <v>1767</v>
      </c>
      <c r="AN371" s="208">
        <f t="shared" si="476"/>
        <v>69.12</v>
      </c>
      <c r="AO371" s="208">
        <f t="shared" si="477"/>
        <v>20.442708333333332</v>
      </c>
      <c r="AP371" s="72">
        <v>1058</v>
      </c>
      <c r="AQ371" s="490">
        <f t="shared" si="491"/>
        <v>63665.953125000007</v>
      </c>
      <c r="AR371" s="76">
        <f t="shared" si="478"/>
        <v>905.203125</v>
      </c>
      <c r="AS371" s="230">
        <f t="shared" si="479"/>
        <v>37.716796875</v>
      </c>
      <c r="AT371" s="208">
        <f t="shared" si="488"/>
        <v>560.55275661943597</v>
      </c>
      <c r="AU371" s="66"/>
      <c r="AV371" s="230">
        <f t="shared" si="489"/>
        <v>420.15110766896584</v>
      </c>
      <c r="AW371" s="855">
        <f t="shared" si="459"/>
        <v>0.640625</v>
      </c>
      <c r="AX371" s="66"/>
      <c r="AY371" s="66"/>
      <c r="AZ371" s="66"/>
      <c r="BA371" s="66"/>
      <c r="BB371" s="66"/>
      <c r="BC371" s="63"/>
      <c r="BD371" s="64"/>
      <c r="BE371" s="64"/>
      <c r="BF371" s="233"/>
      <c r="BG371" s="65"/>
      <c r="BH371" s="66"/>
      <c r="BI371" s="66"/>
      <c r="BJ371" s="66"/>
      <c r="BK371" s="66"/>
      <c r="BL371" s="86"/>
      <c r="BM371" s="86"/>
      <c r="BN371" s="63"/>
      <c r="BO371" s="981"/>
      <c r="BP371" s="981"/>
      <c r="BQ371" s="981"/>
      <c r="BR371" s="364"/>
      <c r="BS371" s="982"/>
      <c r="BT371" s="364"/>
      <c r="BU371" s="1008"/>
      <c r="BV371" s="65"/>
      <c r="BW371" s="66">
        <v>50.6</v>
      </c>
      <c r="BX371" s="66">
        <v>1095</v>
      </c>
      <c r="BY371" s="159">
        <f t="shared" si="472"/>
        <v>30</v>
      </c>
      <c r="BZ371" s="159">
        <f t="shared" si="473"/>
        <v>24.866666666666667</v>
      </c>
      <c r="CA371" s="208">
        <v>666</v>
      </c>
      <c r="CB371" s="76">
        <f t="shared" si="482"/>
        <v>60179.081250000003</v>
      </c>
      <c r="CC371" s="208">
        <f t="shared" si="483"/>
        <v>551.953125</v>
      </c>
      <c r="CD371" s="208">
        <f t="shared" si="484"/>
        <v>22.998046875</v>
      </c>
      <c r="CE371" s="985">
        <f t="shared" si="490"/>
        <v>762.10477060455185</v>
      </c>
      <c r="CF371" s="76"/>
      <c r="CG371" s="180">
        <f>CC371/(AVERAGE(BY371)*AVERAGE((D$351,D$345,D$364,D$344,D$332,D$337,D$339,D$358,D$360,D$353))*0.01)</f>
        <v>590.26106833493736</v>
      </c>
      <c r="CH371" s="433">
        <f t="shared" si="427"/>
        <v>0.73988354557640745</v>
      </c>
      <c r="CI371" s="66"/>
      <c r="CJ371" s="66"/>
      <c r="CK371" s="66"/>
      <c r="CL371" s="66"/>
      <c r="CM371" s="66"/>
      <c r="CN371" s="110"/>
      <c r="CP371" s="49" t="s">
        <v>6</v>
      </c>
      <c r="CQ371" s="49" t="s">
        <v>57</v>
      </c>
      <c r="CR371" s="49" t="s">
        <v>52</v>
      </c>
      <c r="CS371" s="49" t="s">
        <v>58</v>
      </c>
      <c r="CT371" s="49" t="s">
        <v>58</v>
      </c>
      <c r="CU371" s="49" t="s">
        <v>59</v>
      </c>
      <c r="CV371" s="49"/>
      <c r="CW371" s="49" t="s">
        <v>60</v>
      </c>
      <c r="CX371" s="49" t="s">
        <v>60</v>
      </c>
      <c r="CY371" s="49" t="s">
        <v>60</v>
      </c>
      <c r="CZ371" s="49" t="s">
        <v>6</v>
      </c>
      <c r="DA371" s="57" t="s">
        <v>57</v>
      </c>
      <c r="DB371" s="62" t="s">
        <v>52</v>
      </c>
      <c r="DC371" s="62" t="s">
        <v>58</v>
      </c>
      <c r="DD371" s="62" t="s">
        <v>58</v>
      </c>
      <c r="DE371" s="62" t="s">
        <v>59</v>
      </c>
      <c r="DF371" s="62" t="s">
        <v>60</v>
      </c>
      <c r="DG371" s="62" t="s">
        <v>60</v>
      </c>
      <c r="DH371" s="62" t="s">
        <v>60</v>
      </c>
    </row>
    <row r="372" spans="1:112" s="337" customFormat="1" ht="15.75" thickBot="1">
      <c r="A372" s="309">
        <f t="shared" si="412"/>
        <v>41527</v>
      </c>
      <c r="B372" s="310">
        <v>0.33333333333333298</v>
      </c>
      <c r="C372" s="311">
        <f t="shared" si="413"/>
        <v>24</v>
      </c>
      <c r="D372" s="339">
        <v>3.88</v>
      </c>
      <c r="E372" s="365">
        <v>73.08</v>
      </c>
      <c r="F372" s="319"/>
      <c r="G372" s="319">
        <v>5.73</v>
      </c>
      <c r="H372" s="319"/>
      <c r="I372" s="319"/>
      <c r="J372" s="317"/>
      <c r="K372" s="317"/>
      <c r="L372" s="320"/>
      <c r="M372" s="317"/>
      <c r="N372" s="319"/>
      <c r="O372" s="472"/>
      <c r="P372" s="763"/>
      <c r="Q372" s="764"/>
      <c r="R372" s="765"/>
      <c r="S372" s="317"/>
      <c r="T372" s="317"/>
      <c r="U372" s="413"/>
      <c r="V372" s="318">
        <v>2.08</v>
      </c>
      <c r="W372" s="319">
        <v>63.6</v>
      </c>
      <c r="X372" s="319"/>
      <c r="Y372" s="319"/>
      <c r="Z372" s="319"/>
      <c r="AA372" s="317"/>
      <c r="AB372" s="317"/>
      <c r="AC372" s="320"/>
      <c r="AD372" s="1029">
        <f>D364*(100-E364)/(100-W372)</f>
        <v>1.9493873626373623</v>
      </c>
      <c r="AE372" s="753">
        <f>D364-V372</f>
        <v>0.42999999999999972</v>
      </c>
      <c r="AF372" s="864">
        <f>100*(AVERAGE(D$351,D$345,D$364,D$344,D$372,D$337,D$339,D$358,D$360,D$353)-V372)/AVERAGE(D$351,D$345,D$364,D$344,D$372,D$337,D$339,D$358,D$360,D$353)</f>
        <v>34.693877551020407</v>
      </c>
      <c r="AG372" s="864">
        <f>100*(1-((100-AVERAGE(E$351,E$345,E$364,E$344,E$372,E$337,E$339,E$358,E$360,E$353))/(100-W372)))</f>
        <v>30.359890109890099</v>
      </c>
      <c r="AH372" s="753">
        <f>E368-W372</f>
        <v>-63.6</v>
      </c>
      <c r="AI372" s="847">
        <f>100*(1-((V372*W372)/(AVERAGE(D$351,D$345,D$364,D$344,D$372,D$337,D$339,D$358,D$360,D$353)*AVERAGE(E$351,E$345,E$364,E$344,E$372,E$337,E$339,E$358,E$360,E$353))))</f>
        <v>44.36150369378705</v>
      </c>
      <c r="AJ372" s="847">
        <f>100*100*((AVERAGE(E$351,E$345,E$364,E$344,E$372,E$337,E$339,E$358,E$360,E$353)-W372)/((100-W372)*AVERAGE(E$351,E$345,E$364,E$344,E$372,E$337,E$339,E$358,E$360,E$353)))</f>
        <v>40.669100360196246</v>
      </c>
      <c r="AK372" s="318">
        <v>7.09</v>
      </c>
      <c r="AL372" s="319">
        <v>35.299999999999997</v>
      </c>
      <c r="AM372" s="313">
        <v>1793</v>
      </c>
      <c r="AN372" s="334">
        <f t="shared" si="476"/>
        <v>56.160000000000004</v>
      </c>
      <c r="AO372" s="334">
        <f t="shared" si="477"/>
        <v>25.160256410256409</v>
      </c>
      <c r="AP372" s="313">
        <v>1071</v>
      </c>
      <c r="AQ372" s="490">
        <f t="shared" si="491"/>
        <v>64450.462500000001</v>
      </c>
      <c r="AR372" s="348">
        <f t="shared" si="478"/>
        <v>784.50937499999418</v>
      </c>
      <c r="AS372" s="512">
        <f t="shared" si="479"/>
        <v>32.68789062499976</v>
      </c>
      <c r="AT372" s="334">
        <f>AR372/(AVERAGE(AN372)*(AVERAGE(D$351,D$345,D$364,D$344,D$372,D$337,D$339,D$358,D$360,D$353))*AVERAGE(E$351,E$345,E$364,E$344,E$372,E$337,E$339,E$358,E$360,E$353)*0.0001)</f>
        <v>587.52448742918239</v>
      </c>
      <c r="AU372" s="334">
        <f>(AQ372-AQ366)/(AVERAGE(AN366:AN372)*((AVERAGE(D$351,D$345,D$364,D$344,D$372,D$337,D$339,D$358,D$360,D$353)*AVERAGE(E$351,E$345,E$364,E$344,E$372,E$337,E$339,E$358,E$360,E$353))-(V372*W372))*0.0001*(SUM(C366:C372)/24))</f>
        <v>1071.4260549243822</v>
      </c>
      <c r="AV372" s="512">
        <f>AR372/(AVERAGE(AN372)*AVERAGE(D$351,D$345,D$364,D$344,D$372,D$337,D$339,D$358,D$360,D$353)*0.01)</f>
        <v>438.59290511075892</v>
      </c>
      <c r="AW372" s="848">
        <f t="shared" si="459"/>
        <v>0.5552083333333292</v>
      </c>
      <c r="AX372" s="319">
        <v>69.2</v>
      </c>
      <c r="AY372" s="319">
        <v>30.7</v>
      </c>
      <c r="AZ372" s="319">
        <v>0</v>
      </c>
      <c r="BA372" s="319">
        <v>42</v>
      </c>
      <c r="BB372" s="319">
        <v>25</v>
      </c>
      <c r="BC372" s="320"/>
      <c r="BD372" s="368"/>
      <c r="BE372" s="368"/>
      <c r="BF372" s="471"/>
      <c r="BG372" s="318">
        <v>2.2999999999999998</v>
      </c>
      <c r="BH372" s="319">
        <v>60.44</v>
      </c>
      <c r="BI372" s="319"/>
      <c r="BJ372" s="319"/>
      <c r="BK372" s="319"/>
      <c r="BL372" s="317"/>
      <c r="BM372" s="317"/>
      <c r="BN372" s="320"/>
      <c r="BO372" s="859">
        <f>D364*(100-E364)/(100-BH372)</f>
        <v>1.7936729019211322</v>
      </c>
      <c r="BP372" s="753">
        <f>D364-BG372</f>
        <v>0.20999999999999996</v>
      </c>
      <c r="BQ372" s="860">
        <f>100*(AVERAGE(D$351,D$345,D$364,D$344,D$372,D$337,D$339,D$358,D$360,D$353)-BG372)/AVERAGE(D$351,D$345,D$364,D$344,D$372,D$337,D$339,D$358,D$360,D$353)</f>
        <v>27.786499215070652</v>
      </c>
      <c r="BR372" s="861">
        <f>100*(1-((100-AVERAGE(E$351,E$345,E$364,E$344,E$372,E$337,E$339,E$358,E$360,E$353))/(100-BH372)))</f>
        <v>35.922649140546007</v>
      </c>
      <c r="BS372" s="858">
        <f>E364-BH372</f>
        <v>11.290000000000006</v>
      </c>
      <c r="BT372" s="862">
        <f>100*(1-((BG372*BH372)/(AVERAGE(D$351,D$345,D$364,D$344,D$372,D$337,D$339,D$358,D$360,D$353)*AVERAGE(E$351,E$345,E$364,E$344,E$372,E$337,E$339,E$358,E$360,E$353))))</f>
        <v>41.533482640003086</v>
      </c>
      <c r="BU372" s="863">
        <f>100*100*((AVERAGE(E$351,E$345,E$364,E$344,E$372,E$337,E$339,E$358,E$360,E$353)-BH372)/((100-BH372)*AVERAGE(E$351,E$345,E$364,E$344,E$372,E$337,E$339,E$358,E$360,E$353)))</f>
        <v>48.120787585626452</v>
      </c>
      <c r="BV372" s="318">
        <v>7.25</v>
      </c>
      <c r="BW372" s="319">
        <v>50.6</v>
      </c>
      <c r="BX372" s="319">
        <v>1112</v>
      </c>
      <c r="BY372" s="462">
        <f t="shared" si="472"/>
        <v>34</v>
      </c>
      <c r="BZ372" s="462">
        <f t="shared" si="473"/>
        <v>21.941176470588236</v>
      </c>
      <c r="CA372" s="334">
        <v>675</v>
      </c>
      <c r="CB372" s="348">
        <f t="shared" si="482"/>
        <v>60731.034375000003</v>
      </c>
      <c r="CC372" s="334">
        <f t="shared" si="483"/>
        <v>551.953125</v>
      </c>
      <c r="CD372" s="334">
        <f t="shared" si="484"/>
        <v>22.998046875</v>
      </c>
      <c r="CE372" s="984">
        <f>CC372/(AVERAGE(BY371,BY372)*(AVERAGE(D$351,D$345,D$364,D$344,D$372,D$337,D$339,D$358,D$360,D$353))*AVERAGE(E$351,E$345,E$364,E$344,E$372,E$337,E$339,E$358,E$360,E$353)*0.0001)</f>
        <v>725.44944331957527</v>
      </c>
      <c r="CF372" s="441">
        <f>(CB372-CB366)/(AVERAGE(BY366:BY372)*((AVERAGE(D$351,D$345,D$364,D$344,D$372,D$337,D$339,D$358,D$360,D$353)*AVERAGE(E$351,E$345,E$364,E$344,E$372,E$337,E$339,E$358,E$360,E$353))-(BG372*BH372))*0.0001*(SUM(C366:C372)/24))</f>
        <v>1319.0129822291801</v>
      </c>
      <c r="CG372" s="441">
        <f>CC372/(AVERAGE(BY372)*AVERAGE((D$351,D$345,D$364,D$344,D$372,D$337,D$339,D$358,D$360,D$353))*0.01)</f>
        <v>509.69907193646679</v>
      </c>
      <c r="CH372" s="477">
        <f t="shared" si="427"/>
        <v>0.73988354557640745</v>
      </c>
      <c r="CI372" s="319">
        <v>69.3</v>
      </c>
      <c r="CJ372" s="319">
        <v>30.6</v>
      </c>
      <c r="CK372" s="319">
        <v>0</v>
      </c>
      <c r="CL372" s="319">
        <v>53</v>
      </c>
      <c r="CM372" s="319">
        <v>110</v>
      </c>
      <c r="CN372" s="442"/>
      <c r="CP372" s="337" t="s">
        <v>64</v>
      </c>
      <c r="CQ372" s="571">
        <f>MIN(AR356:AR374)</f>
        <v>543.12187500000437</v>
      </c>
      <c r="CR372" s="571">
        <f>MIN(AS356:AS374)</f>
        <v>22.630078125000182</v>
      </c>
      <c r="CS372" s="571">
        <f>MIN(AT356:AT374)</f>
        <v>396.56101356950882</v>
      </c>
      <c r="CT372" s="571" t="e">
        <f>MIN(#REF!)</f>
        <v>#REF!</v>
      </c>
      <c r="CU372" s="571">
        <f>MIN(AU356:AU374)</f>
        <v>1000.6006084177056</v>
      </c>
      <c r="CV372" s="571"/>
      <c r="CW372" s="571">
        <f>MIN(AV356:AV374)</f>
        <v>299.56218965040699</v>
      </c>
      <c r="CX372" s="571" t="e">
        <f>MIN(#REF!)</f>
        <v>#REF!</v>
      </c>
      <c r="CY372" s="571" t="e">
        <f>MIN(#REF!)</f>
        <v>#REF!</v>
      </c>
      <c r="CZ372" s="571"/>
      <c r="DA372" s="571">
        <f>MIN(CC356:CC374)</f>
        <v>306.640625</v>
      </c>
      <c r="DB372" s="571">
        <f>MIN(CD315:CD364)</f>
        <v>12.776692708333334</v>
      </c>
      <c r="DC372" s="571">
        <f>MIN(CE356:CE364)</f>
        <v>394.44521547881789</v>
      </c>
      <c r="DD372" s="571" t="e">
        <f>MIN(#REF!)</f>
        <v>#REF!</v>
      </c>
      <c r="DE372" s="571">
        <f>MIN(CF356:CF374)</f>
        <v>1127.502134259677</v>
      </c>
      <c r="DF372" s="571">
        <f>MIN(CG356:CG374)</f>
        <v>245.94211180622395</v>
      </c>
      <c r="DG372" s="571" t="e">
        <f>MIN(#REF!)</f>
        <v>#REF!</v>
      </c>
      <c r="DH372" s="571" t="e">
        <f>MIN(#REF!)</f>
        <v>#REF!</v>
      </c>
    </row>
    <row r="373" spans="1:112" ht="15.75" thickBot="1">
      <c r="A373" s="378">
        <f t="shared" si="412"/>
        <v>41528</v>
      </c>
      <c r="B373" s="663">
        <v>0.33333333333333298</v>
      </c>
      <c r="C373" s="304">
        <f t="shared" si="413"/>
        <v>24</v>
      </c>
      <c r="D373" s="65"/>
      <c r="E373" s="66"/>
      <c r="F373" s="66"/>
      <c r="G373" s="66"/>
      <c r="H373" s="66"/>
      <c r="I373" s="66"/>
      <c r="J373" s="86"/>
      <c r="K373" s="86"/>
      <c r="L373" s="63"/>
      <c r="M373" s="86">
        <v>50</v>
      </c>
      <c r="N373" s="66">
        <v>80</v>
      </c>
      <c r="O373" s="265"/>
      <c r="P373" s="224">
        <v>1050</v>
      </c>
      <c r="Q373" s="210">
        <f t="shared" ref="Q373" si="492">P373/((N373-M373)*N$4)</f>
        <v>6.9665605095541405</v>
      </c>
      <c r="R373" s="225">
        <f t="shared" ref="R373" si="493">10*Q373/(AVERAGE(D$261,D$262))</f>
        <v>23.144719300844322</v>
      </c>
      <c r="S373" s="86"/>
      <c r="T373" s="86"/>
      <c r="U373" s="178"/>
      <c r="V373" s="65"/>
      <c r="W373" s="66"/>
      <c r="X373" s="66"/>
      <c r="Y373" s="66"/>
      <c r="Z373" s="66"/>
      <c r="AA373" s="86"/>
      <c r="AB373" s="86"/>
      <c r="AC373" s="63"/>
      <c r="AD373" s="87"/>
      <c r="AE373" s="87"/>
      <c r="AF373" s="87"/>
      <c r="AG373" s="66"/>
      <c r="AH373" s="66"/>
      <c r="AI373" s="64"/>
      <c r="AJ373" s="63"/>
      <c r="AK373" s="65"/>
      <c r="AL373" s="66">
        <v>35.200000000000003</v>
      </c>
      <c r="AM373" s="72">
        <v>1820</v>
      </c>
      <c r="AN373" s="208">
        <f t="shared" si="476"/>
        <v>58.320000000000007</v>
      </c>
      <c r="AO373" s="208">
        <f t="shared" si="477"/>
        <v>24.228395061728392</v>
      </c>
      <c r="AP373" s="72">
        <v>1086</v>
      </c>
      <c r="AQ373" s="490">
        <f t="shared" si="491"/>
        <v>65355.665625000001</v>
      </c>
      <c r="AR373" s="76">
        <f t="shared" si="478"/>
        <v>905.203125</v>
      </c>
      <c r="AS373" s="230">
        <f t="shared" si="479"/>
        <v>37.716796875</v>
      </c>
      <c r="AT373" s="208">
        <f t="shared" ref="AT373" si="494">AR373/(AVERAGE(AN373)*(AVERAGE(D$351,D$345,D$364,D$344,D$372,D$337,D$339,D$358,D$360,D$353))*AVERAGE(E$351,E$345,E$364,E$344,E$372,E$337,E$339,E$358,E$360,E$353)*0.0001)</f>
        <v>652.80498603242961</v>
      </c>
      <c r="AU373" s="66"/>
      <c r="AV373" s="230">
        <f t="shared" ref="AV373" si="495">AR373/(AVERAGE(AN373)*AVERAGE(D$351,D$345,D$364,D$344,D$372,D$337,D$339,D$358,D$360,D$353)*0.01)</f>
        <v>487.32545012306906</v>
      </c>
      <c r="AW373" s="855">
        <f t="shared" si="459"/>
        <v>0.640625</v>
      </c>
      <c r="AX373" s="66"/>
      <c r="AY373" s="66"/>
      <c r="AZ373" s="66"/>
      <c r="BA373" s="66"/>
      <c r="BB373" s="66"/>
      <c r="BC373" s="63"/>
      <c r="BD373" s="64"/>
      <c r="BE373" s="64"/>
      <c r="BF373" s="233"/>
      <c r="BG373" s="65"/>
      <c r="BH373" s="66"/>
      <c r="BI373" s="66"/>
      <c r="BJ373" s="66"/>
      <c r="BK373" s="66"/>
      <c r="BL373" s="86"/>
      <c r="BM373" s="86"/>
      <c r="BN373" s="63"/>
      <c r="BO373" s="981"/>
      <c r="BP373" s="981"/>
      <c r="BQ373" s="981"/>
      <c r="BR373" s="364"/>
      <c r="BS373" s="982"/>
      <c r="BT373" s="364"/>
      <c r="BU373" s="1008"/>
      <c r="BV373" s="65"/>
      <c r="BW373" s="66">
        <v>50.6</v>
      </c>
      <c r="BX373" s="66">
        <v>1128</v>
      </c>
      <c r="BY373" s="159">
        <f t="shared" si="472"/>
        <v>32</v>
      </c>
      <c r="BZ373" s="159">
        <f t="shared" si="473"/>
        <v>23.3125</v>
      </c>
      <c r="CA373" s="208">
        <v>683</v>
      </c>
      <c r="CB373" s="76">
        <f t="shared" si="482"/>
        <v>61221.659375000003</v>
      </c>
      <c r="CC373" s="208">
        <f t="shared" si="483"/>
        <v>490.625</v>
      </c>
      <c r="CD373" s="208">
        <f t="shared" si="484"/>
        <v>20.442708333333332</v>
      </c>
      <c r="CE373" s="985">
        <f t="shared" ref="CE373" si="496">CC373/(AVERAGE(BY372,BY373)*(AVERAGE(D$351,D$345,D$364,D$344,D$372,D$337,D$339,D$358,D$360,D$353))*AVERAGE(E$351,E$345,E$364,E$344,E$372,E$337,E$339,E$358,E$360,E$353)*0.0001)</f>
        <v>625.30322387141825</v>
      </c>
      <c r="CF373" s="76"/>
      <c r="CG373" s="180">
        <f>CC373/(AVERAGE(BY373)*AVERAGE((D$351,D$345,D$364,D$344,D$372,D$337,D$339,D$358,D$360,D$353))*0.01)</f>
        <v>481.38245682888532</v>
      </c>
      <c r="CH373" s="433">
        <f t="shared" si="427"/>
        <v>0.6576742627345844</v>
      </c>
      <c r="CI373" s="66"/>
      <c r="CJ373" s="66"/>
      <c r="CK373" s="66"/>
      <c r="CL373" s="66"/>
      <c r="CM373" s="66"/>
      <c r="CN373" s="110"/>
      <c r="CP373" s="130" t="s">
        <v>69</v>
      </c>
      <c r="CQ373" s="129">
        <f>AVERAGE(AR356:AR374)</f>
        <v>778.15707236842138</v>
      </c>
      <c r="CR373" s="129">
        <f>AVERAGE(AS356:AS374)</f>
        <v>32.423211348684227</v>
      </c>
      <c r="CS373" s="129">
        <f>AVERAGE(AT356:AT374)</f>
        <v>563.43403530029684</v>
      </c>
      <c r="CT373" s="129" t="e">
        <f>AVERAGE(#REF!)</f>
        <v>#REF!</v>
      </c>
      <c r="CU373" s="129">
        <f>AVERAGE(AU356:AU374)</f>
        <v>1198.9371870605914</v>
      </c>
      <c r="CV373" s="129"/>
      <c r="CW373" s="129">
        <f>AVERAGE(AV356:AV374)</f>
        <v>437.74778152762491</v>
      </c>
      <c r="CX373" s="129" t="e">
        <f>AVERAGE(#REF!)</f>
        <v>#REF!</v>
      </c>
      <c r="CY373" s="129" t="e">
        <f>AVERAGE(#REF!)</f>
        <v>#REF!</v>
      </c>
      <c r="CZ373" s="130"/>
      <c r="DA373" s="129">
        <f>AVERAGE(CC356:CC374)</f>
        <v>484.16940789473682</v>
      </c>
      <c r="DB373" s="129">
        <f>AVERAGE(CD315:CD364)</f>
        <v>24.885989722795149</v>
      </c>
      <c r="DC373" s="129">
        <f>AVERAGE(CE356:CE374)</f>
        <v>635.96448998328503</v>
      </c>
      <c r="DD373" s="129" t="e">
        <f>AVERAGE(#REF!)</f>
        <v>#REF!</v>
      </c>
      <c r="DE373" s="129">
        <f>AVERAGE(CF356:CF374)</f>
        <v>1362.2402446249612</v>
      </c>
      <c r="DF373" s="129">
        <f>AVERAGE(CG356:CG374)</f>
        <v>468.34884323828595</v>
      </c>
      <c r="DG373" s="129" t="e">
        <f>AVERAGE(#REF!)</f>
        <v>#REF!</v>
      </c>
      <c r="DH373" s="129" t="e">
        <f>AVERAGE(#REF!)</f>
        <v>#REF!</v>
      </c>
    </row>
    <row r="374" spans="1:112" s="337" customFormat="1" ht="15" thickBot="1">
      <c r="A374" s="309">
        <f t="shared" si="412"/>
        <v>41529</v>
      </c>
      <c r="B374" s="310">
        <v>0.33333333333333298</v>
      </c>
      <c r="C374" s="311">
        <f t="shared" si="413"/>
        <v>24</v>
      </c>
      <c r="D374" s="318">
        <v>3.7</v>
      </c>
      <c r="E374" s="319">
        <v>75.2</v>
      </c>
      <c r="F374" s="319">
        <v>39100</v>
      </c>
      <c r="G374" s="319"/>
      <c r="H374" s="319">
        <v>45.8</v>
      </c>
      <c r="I374" s="319">
        <v>5702</v>
      </c>
      <c r="J374" s="317">
        <v>1460</v>
      </c>
      <c r="K374" s="317">
        <v>33.200000000000003</v>
      </c>
      <c r="L374" s="320">
        <v>230</v>
      </c>
      <c r="M374" s="317"/>
      <c r="N374" s="319"/>
      <c r="O374" s="472"/>
      <c r="P374" s="318"/>
      <c r="Q374" s="319"/>
      <c r="R374" s="332"/>
      <c r="S374" s="317"/>
      <c r="T374" s="317"/>
      <c r="U374" s="413"/>
      <c r="V374" s="318">
        <v>2.2999999999999998</v>
      </c>
      <c r="W374" s="319">
        <v>64.2</v>
      </c>
      <c r="X374" s="319">
        <v>20300</v>
      </c>
      <c r="Y374" s="319">
        <v>37.299999999999997</v>
      </c>
      <c r="Z374" s="319">
        <v>1555</v>
      </c>
      <c r="AA374" s="317">
        <v>341</v>
      </c>
      <c r="AB374" s="317">
        <v>65.900000000000006</v>
      </c>
      <c r="AC374" s="320">
        <v>144</v>
      </c>
      <c r="AD374" s="1029">
        <f>D372*(100-E372)/(100-W374)</f>
        <v>2.9175865921787714</v>
      </c>
      <c r="AE374" s="753">
        <f>D372-V374</f>
        <v>1.58</v>
      </c>
      <c r="AF374" s="864">
        <f>100*(AVERAGE(D$351,D$345,D$364,D$344,D$372,D$374,D$339,D$358,D$360,D$353)-V374)/AVERAGE(D$351,D$345,D$364,D$344,D$372,D$374,D$339,D$358,D$360,D$353)</f>
        <v>29.770992366412219</v>
      </c>
      <c r="AG374" s="864">
        <f>100*(1-((100-AVERAGE(E$351,E$345,E$364,E$344,E$372,E$374,E$339,E$358,E$360,E$353))/(100-W374)))</f>
        <v>27.656424581005577</v>
      </c>
      <c r="AH374" s="753">
        <f>E372-W374</f>
        <v>8.8799999999999955</v>
      </c>
      <c r="AI374" s="847">
        <f>100*(1-((V374*W374)/(AVERAGE(D$351,D$345,D$364,D$344,D$372,D$374,D$339,D$358,D$360,D$353)*AVERAGE(E$351,E$345,E$364,E$344,E$372,E$374,E$339,E$358,E$360,E$353))))</f>
        <v>39.154636373647648</v>
      </c>
      <c r="AJ374" s="847">
        <f>100*100*((AVERAGE(E$351,E$345,E$364,E$344,E$372,E$374,E$339,E$358,E$360,E$353)-W374)/((100-W374)*AVERAGE(E$351,E$345,E$364,E$344,E$372,E$374,E$339,E$358,E$360,E$353)))</f>
        <v>37.322606416924977</v>
      </c>
      <c r="AK374" s="318"/>
      <c r="AL374" s="327">
        <v>35.299999999999997</v>
      </c>
      <c r="AM374" s="313">
        <v>1847</v>
      </c>
      <c r="AN374" s="334">
        <f t="shared" si="476"/>
        <v>58.320000000000007</v>
      </c>
      <c r="AO374" s="334">
        <f t="shared" si="477"/>
        <v>24.228395061728392</v>
      </c>
      <c r="AP374" s="313">
        <v>1101</v>
      </c>
      <c r="AQ374" s="490">
        <f t="shared" si="491"/>
        <v>66260.868750000009</v>
      </c>
      <c r="AR374" s="348">
        <f t="shared" si="478"/>
        <v>905.20312500000728</v>
      </c>
      <c r="AS374" s="512">
        <f t="shared" si="479"/>
        <v>37.716796875000306</v>
      </c>
      <c r="AT374" s="334">
        <f>AR374/(AVERAGE(AN374)*(AVERAGE(D$351,D$345,D$364,D$344,D$372,D$374,D$339,D$358,D$360,D$353))*AVERAGE(E$351,E$345,E$364,E$344,E$372,E$374,E$339,E$358,E$360,E$353)*0.0001)</f>
        <v>639.57746906073942</v>
      </c>
      <c r="AU374" s="334">
        <f>(AQ374-AQ368)/(AVERAGE(AN368:AN374)*((AVERAGE(D$351,D$345,D$364,D$344,D$372,D$374,D$339,D$358,D$360,D$353)*AVERAGE(E$351,E$345,E$364,E$344,E$372,E$374,E$339,E$358,E$360,E$353))-(V374*W374))*0.0001*(SUM(C368:C374)/24))</f>
        <v>1328.921068635975</v>
      </c>
      <c r="AV374" s="512">
        <f>AR374/(AVERAGE(AN374)*AVERAGE(D$351,D$345,D$364,D$344,D$372,D$374,D$339,D$358,D$360,D$353)*0.01)</f>
        <v>473.93330034869848</v>
      </c>
      <c r="AW374" s="848">
        <f t="shared" si="459"/>
        <v>0.64062500000000511</v>
      </c>
      <c r="AX374" s="319"/>
      <c r="AY374" s="319"/>
      <c r="AZ374" s="319"/>
      <c r="BA374" s="319"/>
      <c r="BB374" s="319"/>
      <c r="BC374" s="320"/>
      <c r="BD374" s="368"/>
      <c r="BE374" s="368"/>
      <c r="BF374" s="471"/>
      <c r="BG374" s="318">
        <v>2.4</v>
      </c>
      <c r="BH374" s="319">
        <v>62.3</v>
      </c>
      <c r="BI374" s="319">
        <v>21100</v>
      </c>
      <c r="BJ374" s="319">
        <v>33.4</v>
      </c>
      <c r="BK374" s="319">
        <v>2593</v>
      </c>
      <c r="BL374" s="317">
        <v>409</v>
      </c>
      <c r="BM374" s="317">
        <v>73.7</v>
      </c>
      <c r="BN374" s="320">
        <v>115</v>
      </c>
      <c r="BO374" s="859">
        <f>D372*(100-E372)/(100-BH374)</f>
        <v>2.7705464190981433</v>
      </c>
      <c r="BP374" s="753">
        <f>D372-BG374</f>
        <v>1.48</v>
      </c>
      <c r="BQ374" s="860">
        <f>100*(AVERAGE(D$351,D$345,D$364,D$344,D$372,D$374,D$339,D$358,D$360,D$353)-BG374)/AVERAGE(D$351,D$345,D$364,D$344,D$372,D$374,D$339,D$358,D$360,D$353)</f>
        <v>26.717557251908399</v>
      </c>
      <c r="BR374" s="861">
        <f>100*(1-((100-AVERAGE(E$351,E$345,E$364,E$344,E$372,E$374,E$339,E$358,E$360,E$353))/(100-BH374)))</f>
        <v>31.302387267904507</v>
      </c>
      <c r="BS374" s="858">
        <f>E372-BH374</f>
        <v>10.780000000000001</v>
      </c>
      <c r="BT374" s="862">
        <f>100*(1-((BG374*BH374)/(AVERAGE(D$351,D$345,D$364,D$344,D$372,D$374,D$339,D$358,D$360,D$353)*AVERAGE(E$351,E$345,E$364,E$344,E$372,E$374,E$339,E$358,E$360,E$353))))</f>
        <v>38.388197416956494</v>
      </c>
      <c r="BU374" s="863">
        <f>100*100*((AVERAGE(E$351,E$345,E$364,E$344,E$372,E$374,E$339,E$358,E$360,E$353)-BH374)/((100-BH374)*AVERAGE(E$351,E$345,E$364,E$344,E$372,E$374,E$339,E$358,E$360,E$353)))</f>
        <v>42.242867529324187</v>
      </c>
      <c r="BV374" s="318"/>
      <c r="BW374" s="319">
        <v>50.7</v>
      </c>
      <c r="BX374" s="319">
        <v>1144</v>
      </c>
      <c r="BY374" s="462">
        <f t="shared" si="472"/>
        <v>32</v>
      </c>
      <c r="BZ374" s="462">
        <f t="shared" si="473"/>
        <v>23.3125</v>
      </c>
      <c r="CA374" s="334">
        <v>693</v>
      </c>
      <c r="CB374" s="348">
        <f t="shared" si="482"/>
        <v>61834.940625000003</v>
      </c>
      <c r="CC374" s="334">
        <f t="shared" si="483"/>
        <v>613.28125</v>
      </c>
      <c r="CD374" s="334">
        <f t="shared" si="484"/>
        <v>25.553385416666668</v>
      </c>
      <c r="CE374" s="984">
        <f>CC374/(AVERAGE(BY373,BY374)*(AVERAGE(D$351,D$345,D$364,D$344,D$372,D$374,D$339,D$358,D$360,D$353))*AVERAGE(E$351,E$345,E$364,E$344,E$372,E$374,E$339,E$358,E$360,E$353)*0.0001)</f>
        <v>789.72217978535798</v>
      </c>
      <c r="CF374" s="441">
        <f>(CB374-CB368)/(AVERAGE(BY368:BY374)*((AVERAGE(D$351,D$345,D$364,D$344,D$372,D$374,D$339,D$358,D$360,D$353)*AVERAGE(E$351,E$345,E$364,E$344,E$372,E$374,E$339,E$358,E$360,E$353))-(BG374*BH374))*0.0001*(SUM(C368:C374)/24))</f>
        <v>1528.2060674907746</v>
      </c>
      <c r="CG374" s="441">
        <f>CC374/(AVERAGE(BY374)*AVERAGE((D$351,D$345,D$364,D$344,D$372,D$374,D$339,D$358,D$360,D$353))*0.01)</f>
        <v>585.19203244274809</v>
      </c>
      <c r="CH374" s="477">
        <f t="shared" si="427"/>
        <v>0.82209282841823061</v>
      </c>
      <c r="CI374" s="319"/>
      <c r="CJ374" s="319"/>
      <c r="CK374" s="319"/>
      <c r="CL374" s="319"/>
      <c r="CM374" s="319"/>
      <c r="CN374" s="442"/>
      <c r="CP374" s="337" t="s">
        <v>66</v>
      </c>
      <c r="CQ374" s="571">
        <f>MAX(AR356:AR374)</f>
        <v>1086.2437500000015</v>
      </c>
      <c r="CR374" s="571">
        <f>MAX(AS356:AS374)</f>
        <v>45.260156250000058</v>
      </c>
      <c r="CS374" s="571">
        <f>MAX(AT356:AT374)</f>
        <v>800.87661425531667</v>
      </c>
      <c r="CT374" s="571" t="e">
        <f>MAX(#REF!)</f>
        <v>#REF!</v>
      </c>
      <c r="CU374" s="571">
        <f>MAX(AU356:AU374)</f>
        <v>1343.3716937346562</v>
      </c>
      <c r="CV374" s="571"/>
      <c r="CW374" s="571">
        <f>MAX(AV356:AV374)</f>
        <v>806.69012672442091</v>
      </c>
      <c r="CX374" s="571" t="e">
        <f>MAX(#REF!)</f>
        <v>#REF!</v>
      </c>
      <c r="CY374" s="571" t="e">
        <f>MAX(#REF!)</f>
        <v>#REF!</v>
      </c>
      <c r="CZ374" s="571"/>
      <c r="DA374" s="571">
        <f>MAX(CC356:CC374)</f>
        <v>674.609375</v>
      </c>
      <c r="DB374" s="571">
        <f>MAX(CD315:CD364)</f>
        <v>40.885416666666664</v>
      </c>
      <c r="DC374" s="571">
        <f>MAX(CE356:CE374)</f>
        <v>886.33600906914353</v>
      </c>
      <c r="DD374" s="571" t="e">
        <f>MAX(#REF!)</f>
        <v>#REF!</v>
      </c>
      <c r="DE374" s="571">
        <f>MAX(CF356:CF374)</f>
        <v>1559.7774331470282</v>
      </c>
      <c r="DF374" s="571">
        <f>MAX(CG356:CG374)</f>
        <v>678.13568053880181</v>
      </c>
      <c r="DG374" s="571" t="e">
        <f>MAX(#REF!)</f>
        <v>#REF!</v>
      </c>
      <c r="DH374" s="571" t="e">
        <f>MAX(#REF!)</f>
        <v>#REF!</v>
      </c>
    </row>
    <row r="375" spans="1:112" s="337" customFormat="1" ht="15">
      <c r="A375" s="309">
        <f t="shared" si="412"/>
        <v>41530</v>
      </c>
      <c r="B375" s="310">
        <v>0.33333333333333298</v>
      </c>
      <c r="C375" s="311">
        <f t="shared" si="413"/>
        <v>24</v>
      </c>
      <c r="D375" s="339">
        <v>3.23</v>
      </c>
      <c r="E375" s="365">
        <v>78.150000000000006</v>
      </c>
      <c r="F375" s="319"/>
      <c r="G375" s="319">
        <v>5.4</v>
      </c>
      <c r="H375" s="319"/>
      <c r="I375" s="319"/>
      <c r="J375" s="317"/>
      <c r="K375" s="317"/>
      <c r="L375" s="320"/>
      <c r="M375" s="317">
        <v>70</v>
      </c>
      <c r="N375" s="319">
        <v>90</v>
      </c>
      <c r="O375" s="316"/>
      <c r="P375" s="318">
        <v>700</v>
      </c>
      <c r="Q375" s="764">
        <f t="shared" ref="Q375" si="497">P375/((N375-M375)*N$4)</f>
        <v>6.9665605095541396</v>
      </c>
      <c r="R375" s="765">
        <f t="shared" ref="R375" si="498">10*Q375/(AVERAGE(D$261,D$262))</f>
        <v>23.144719300844319</v>
      </c>
      <c r="S375" s="317"/>
      <c r="T375" s="317"/>
      <c r="U375" s="317"/>
      <c r="V375" s="318">
        <v>2</v>
      </c>
      <c r="W375" s="319">
        <v>68.09</v>
      </c>
      <c r="X375" s="319"/>
      <c r="Y375" s="319"/>
      <c r="Z375" s="319"/>
      <c r="AA375" s="317"/>
      <c r="AB375" s="317"/>
      <c r="AC375" s="320"/>
      <c r="AD375" s="1029">
        <f>D374*(100-E374)/(100-W375)</f>
        <v>2.8755875900971484</v>
      </c>
      <c r="AE375" s="753">
        <f>D374-V375</f>
        <v>1.7000000000000002</v>
      </c>
      <c r="AF375" s="864">
        <f>100*(AVERAGE(D$351,D$345,D$364,D$344,D$372,D$374,D$375,D$358,D$360,D$353)-V375)/AVERAGE(D$351,D$345,D$364,D$344,D$372,D$374,D$375,D$358,D$360,D$353)</f>
        <v>39.540507859733978</v>
      </c>
      <c r="AG375" s="864">
        <f>100*(1-((100-AVERAGE(E$351,E$345,E$364,E$344,E$372,E$374,E$375,E$358,E$360,E$353))/(100-W375)))</f>
        <v>18.978376684424937</v>
      </c>
      <c r="AH375" s="753">
        <f>E374-W375</f>
        <v>7.1099999999999994</v>
      </c>
      <c r="AI375" s="847">
        <f>100*(1-((V375*W375)/(AVERAGE(D$351,D$345,D$364,D$344,D$372,D$374,D$375,D$358,D$360,D$353)*AVERAGE(E$351,E$345,E$364,E$344,E$372,E$374,E$375,E$358,E$360,E$353))))</f>
        <v>44.47863917364775</v>
      </c>
      <c r="AJ375" s="847">
        <f>100*100*((AVERAGE(E$351,E$345,E$364,E$344,E$372,E$374,E$375,E$358,E$360,E$353)-W375)/((100-W375)*AVERAGE(E$351,E$345,E$364,E$344,E$372,E$374,E$375,E$358,E$360,E$353)))</f>
        <v>25.595954851812557</v>
      </c>
      <c r="AK375" s="318">
        <v>7.01</v>
      </c>
      <c r="AL375" s="319">
        <v>35.1</v>
      </c>
      <c r="AM375" s="313">
        <v>1870</v>
      </c>
      <c r="AN375" s="334">
        <f t="shared" si="476"/>
        <v>49.680000000000007</v>
      </c>
      <c r="AO375" s="334">
        <f t="shared" si="477"/>
        <v>28.442028985507243</v>
      </c>
      <c r="AP375" s="313">
        <v>1116</v>
      </c>
      <c r="AQ375" s="490">
        <f t="shared" si="491"/>
        <v>67166.071875000009</v>
      </c>
      <c r="AR375" s="348">
        <f t="shared" si="478"/>
        <v>905.203125</v>
      </c>
      <c r="AS375" s="512">
        <f t="shared" si="479"/>
        <v>37.716796875</v>
      </c>
      <c r="AT375" s="334">
        <f>AR375/(AVERAGE(AN375)*(AVERAGE(D$351,D$345,D$364,D$344,D$372,D$374,D$375,D$358,D$360,D$353))*AVERAGE(E$351,E$345,E$364,E$344,E$372,E$374,E$375,E$358,E$360,E$353)*0.0001)</f>
        <v>742.86727942170523</v>
      </c>
      <c r="AU375" s="334">
        <f>(AQ375-AQ369)/(AVERAGE(AN369:AN375)*((AVERAGE(D$351,D$345,D$364,D$344,D$372,D$374,D$375,D$358,D$360,D$353)*AVERAGE(E$351,E$345,E$364,E$344,E$372,E$374,E$375,E$358,E$360,E$353))-(V375*W375))*0.0001*(SUM(C369:C375)/24))</f>
        <v>1216.7915679671221</v>
      </c>
      <c r="AV375" s="512">
        <f>AR375/(AVERAGE(AN375)*AVERAGE(D$351,D$345,D$364,D$344,D$372,D$374,D$375,D$358,D$360,D$353)*0.01)</f>
        <v>550.80637300001752</v>
      </c>
      <c r="AW375" s="848">
        <f t="shared" si="459"/>
        <v>0.640625</v>
      </c>
      <c r="AX375" s="319">
        <v>68.7</v>
      </c>
      <c r="AY375" s="319">
        <v>31.1</v>
      </c>
      <c r="AZ375" s="319">
        <v>0</v>
      </c>
      <c r="BA375" s="319">
        <v>26</v>
      </c>
      <c r="BB375" s="319">
        <v>80</v>
      </c>
      <c r="BC375" s="320"/>
      <c r="BD375" s="368"/>
      <c r="BE375" s="368"/>
      <c r="BF375" s="317"/>
      <c r="BG375" s="318">
        <v>2.25</v>
      </c>
      <c r="BH375" s="319">
        <v>61.88</v>
      </c>
      <c r="BI375" s="319"/>
      <c r="BJ375" s="319"/>
      <c r="BK375" s="319"/>
      <c r="BL375" s="317"/>
      <c r="BM375" s="317"/>
      <c r="BN375" s="320"/>
      <c r="BO375" s="859">
        <f>D374*(100-E374)/(100-BH375)</f>
        <v>2.4071353620146905</v>
      </c>
      <c r="BP375" s="753">
        <f>D374-BG375</f>
        <v>1.4500000000000002</v>
      </c>
      <c r="BQ375" s="860">
        <f>100*(AVERAGE(D$351,D$345,D$364,D$344,D$372,D$374,D$375,D$358,D$360,D$353)-BG375)/AVERAGE(D$351,D$345,D$364,D$344,D$372,D$374,D$375,D$358,D$360,D$353)</f>
        <v>31.983071342200724</v>
      </c>
      <c r="BR375" s="861">
        <f>100*(1-((100-AVERAGE(E$351,E$345,E$364,E$344,E$372,E$374,E$375,E$358,E$360,E$353))/(100-BH375)))</f>
        <v>32.177334732423923</v>
      </c>
      <c r="BS375" s="858">
        <f>E374-BH375</f>
        <v>13.32</v>
      </c>
      <c r="BT375" s="862">
        <f>100*(1-((BG375*BH375)/(AVERAGE(D$351,D$345,D$364,D$344,D$372,D$374,D$375,D$358,D$360,D$353)*AVERAGE(E$351,E$345,E$364,E$344,E$372,E$374,E$375,E$358,E$360,E$353))))</f>
        <v>43.235136819995425</v>
      </c>
      <c r="BU375" s="863">
        <f>100*100*((AVERAGE(E$351,E$345,E$364,E$344,E$372,E$374,E$375,E$358,E$360,E$353)-BH375)/((100-BH375)*AVERAGE(E$351,E$345,E$364,E$344,E$372,E$374,E$375,E$358,E$360,E$353)))</f>
        <v>43.397263146257281</v>
      </c>
      <c r="BV375" s="318">
        <v>7.3</v>
      </c>
      <c r="BW375" s="319">
        <v>50.5</v>
      </c>
      <c r="BX375" s="319">
        <v>1152</v>
      </c>
      <c r="BY375" s="462">
        <f t="shared" si="472"/>
        <v>16</v>
      </c>
      <c r="BZ375" s="462">
        <f t="shared" si="473"/>
        <v>46.625</v>
      </c>
      <c r="CA375" s="319">
        <v>700</v>
      </c>
      <c r="CB375" s="348">
        <f t="shared" si="482"/>
        <v>62264.237500000003</v>
      </c>
      <c r="CC375" s="334">
        <f t="shared" si="483"/>
        <v>429.296875</v>
      </c>
      <c r="CD375" s="334">
        <f t="shared" si="484"/>
        <v>17.887369791666668</v>
      </c>
      <c r="CE375" s="984">
        <f>CC375/(AVERAGE(BY374,BY375)*(AVERAGE(D$351,D$345,D$364,D$344,D$372,D$374,D$375,D$358,D$360,D$353))*AVERAGE(E$351,E$345,E$364,E$344,E$372,E$374,E$375,E$358,E$360,E$353)*0.0001)</f>
        <v>729.27824382252777</v>
      </c>
      <c r="CF375" s="441">
        <f>(CB375-CB369)/(AVERAGE(BY369:BY375)*((AVERAGE(D$351,D$345,D$364,D$344,D$372,D$374,D$375,D$358,D$360,D$353)*AVERAGE(E$351,E$345,E$364,E$344,E$372,E$374,E$375,E$358,E$360,E$353))-(BG375*BH375))*0.0001*(SUM(C369:C375)/24))</f>
        <v>1418.0007574892481</v>
      </c>
      <c r="CG375" s="441">
        <f>CC375/(AVERAGE(BY375)*AVERAGE((D$351,D$345,D$364,D$344,D$372,D$374,D$375,D$358,D$360,D$353))*0.01)</f>
        <v>811.09596999697703</v>
      </c>
      <c r="CH375" s="477">
        <f t="shared" si="427"/>
        <v>0.57546497989276135</v>
      </c>
      <c r="CI375" s="319">
        <v>68.2</v>
      </c>
      <c r="CJ375" s="319">
        <v>31.1</v>
      </c>
      <c r="CK375" s="319">
        <v>0</v>
      </c>
      <c r="CL375" s="319">
        <v>12</v>
      </c>
      <c r="CM375" s="319">
        <v>90</v>
      </c>
      <c r="CN375" s="442"/>
      <c r="CQ375" s="827"/>
      <c r="CR375" s="827"/>
      <c r="CS375" s="827"/>
      <c r="CT375" s="827"/>
      <c r="CU375" s="827"/>
      <c r="CV375" s="827"/>
      <c r="CW375" s="827"/>
      <c r="CX375" s="827"/>
      <c r="CY375" s="827"/>
      <c r="CZ375" s="827"/>
      <c r="DA375" s="827"/>
      <c r="DB375" s="827"/>
      <c r="DC375" s="827"/>
      <c r="DD375" s="827"/>
      <c r="DE375" s="827"/>
      <c r="DF375" s="827"/>
      <c r="DG375" s="827"/>
      <c r="DH375" s="827"/>
    </row>
    <row r="376" spans="1:112">
      <c r="A376" s="378">
        <f t="shared" si="412"/>
        <v>41531</v>
      </c>
      <c r="B376" s="663">
        <v>0.33333333333333331</v>
      </c>
      <c r="C376" s="304">
        <f t="shared" ref="C376:C378" si="499">((A376-A375)+(B376-B375))*24</f>
        <v>24.000000000000011</v>
      </c>
      <c r="D376" s="65"/>
      <c r="E376" s="66"/>
      <c r="F376" s="66"/>
      <c r="G376" s="66"/>
      <c r="H376" s="66"/>
      <c r="I376" s="66"/>
      <c r="J376" s="86"/>
      <c r="K376" s="86"/>
      <c r="L376" s="63"/>
      <c r="M376" s="86"/>
      <c r="N376" s="66"/>
      <c r="O376" s="261"/>
      <c r="P376" s="65"/>
      <c r="Q376" s="66"/>
      <c r="R376" s="67"/>
      <c r="S376" s="86"/>
      <c r="T376" s="86"/>
      <c r="U376" s="86"/>
      <c r="V376" s="65"/>
      <c r="W376" s="66"/>
      <c r="X376" s="66"/>
      <c r="Y376" s="66"/>
      <c r="Z376" s="66"/>
      <c r="AA376" s="86"/>
      <c r="AB376" s="86"/>
      <c r="AC376" s="63"/>
      <c r="AD376" s="87"/>
      <c r="AE376" s="87"/>
      <c r="AF376" s="87"/>
      <c r="AG376" s="66"/>
      <c r="AH376" s="66"/>
      <c r="AI376" s="64"/>
      <c r="AJ376" s="63"/>
      <c r="AK376" s="65"/>
      <c r="AL376" s="66">
        <v>35.299999999999997</v>
      </c>
      <c r="AM376" s="72">
        <v>1907</v>
      </c>
      <c r="AN376" s="208">
        <f t="shared" si="476"/>
        <v>79.92</v>
      </c>
      <c r="AO376" s="208">
        <f t="shared" si="477"/>
        <v>17.68018018018018</v>
      </c>
      <c r="AP376" s="72">
        <v>1134</v>
      </c>
      <c r="AQ376" s="490">
        <f t="shared" si="491"/>
        <v>68252.315625000003</v>
      </c>
      <c r="AR376" s="76">
        <f t="shared" si="478"/>
        <v>1086.2437499999937</v>
      </c>
      <c r="AS376" s="230">
        <f t="shared" si="479"/>
        <v>45.260156249999739</v>
      </c>
      <c r="AT376" s="208">
        <f t="shared" ref="AT376:AT377" si="500">AR376/(AVERAGE(AN376)*(AVERAGE(D$351,D$345,D$364,D$344,D$372,D$374,D$375,D$358,D$360,D$353))*AVERAGE(E$351,E$345,E$364,E$344,E$372,E$374,E$375,E$358,E$360,E$353)*0.0001)</f>
        <v>554.13883546051193</v>
      </c>
      <c r="AU376" s="66"/>
      <c r="AV376" s="230">
        <f t="shared" ref="AV376:AV378" si="501">AR376/(AVERAGE(AN376)*AVERAGE(D$351,D$345,D$364,D$344,D$372,D$374,D$375,D$358,D$360,D$353)*0.01)</f>
        <v>410.87178094055122</v>
      </c>
      <c r="AW376" s="855">
        <f t="shared" si="459"/>
        <v>0.7687499999999956</v>
      </c>
      <c r="AX376" s="66"/>
      <c r="AY376" s="66"/>
      <c r="AZ376" s="66"/>
      <c r="BA376" s="66"/>
      <c r="BB376" s="66"/>
      <c r="BC376" s="63"/>
      <c r="BD376" s="64"/>
      <c r="BE376" s="64"/>
      <c r="BF376" s="86"/>
      <c r="BG376" s="65"/>
      <c r="BH376" s="66"/>
      <c r="BI376" s="66"/>
      <c r="BJ376" s="66"/>
      <c r="BK376" s="66"/>
      <c r="BL376" s="86"/>
      <c r="BM376" s="86"/>
      <c r="BN376" s="63"/>
      <c r="BO376" s="87"/>
      <c r="BP376" s="87"/>
      <c r="BQ376" s="87"/>
      <c r="BR376" s="66"/>
      <c r="BS376" s="64"/>
      <c r="BT376" s="66"/>
      <c r="BU376" s="67"/>
      <c r="BV376" s="65"/>
      <c r="BW376" s="66">
        <v>50.6</v>
      </c>
      <c r="BX376" s="66">
        <v>1176</v>
      </c>
      <c r="BY376" s="159">
        <f t="shared" si="472"/>
        <v>47.999999999999979</v>
      </c>
      <c r="BZ376" s="159">
        <f t="shared" si="473"/>
        <v>15.541666666666673</v>
      </c>
      <c r="CA376" s="66">
        <v>712</v>
      </c>
      <c r="CB376" s="76">
        <f t="shared" si="482"/>
        <v>63000.175000000003</v>
      </c>
      <c r="CC376" s="208">
        <f t="shared" si="483"/>
        <v>735.93749999999966</v>
      </c>
      <c r="CD376" s="208">
        <f t="shared" si="484"/>
        <v>30.664062499999986</v>
      </c>
      <c r="CE376" s="985">
        <f t="shared" ref="CE376:CE377" si="502">CC376/(AVERAGE(BY375,BY376)*(AVERAGE(D$351,D$345,D$364,D$344,D$372,D$374,D$375,D$358,D$360,D$353))*AVERAGE(E$351,E$345,E$364,E$344,E$372,E$374,E$375,E$358,E$360,E$353)*0.0001)</f>
        <v>937.64345634324968</v>
      </c>
      <c r="CF376" s="66"/>
      <c r="CG376" s="180">
        <f>CC376/(AVERAGE(BY376)*AVERAGE((D$351,D$345,D$364,D$344,D$372,D$374,D$375,D$358,D$360,D$353))*0.01)</f>
        <v>463.48341142684393</v>
      </c>
      <c r="CH376" s="433">
        <f t="shared" si="427"/>
        <v>0.98651139410187627</v>
      </c>
      <c r="CI376" s="66"/>
      <c r="CJ376" s="66"/>
      <c r="CK376" s="66"/>
      <c r="CL376" s="66"/>
      <c r="CM376" s="66"/>
      <c r="CN376" s="110"/>
    </row>
    <row r="377" spans="1:112" ht="15">
      <c r="A377" s="378">
        <f t="shared" si="412"/>
        <v>41532</v>
      </c>
      <c r="B377" s="663">
        <v>0.33333333333333398</v>
      </c>
      <c r="C377" s="304">
        <f t="shared" si="499"/>
        <v>24.000000000000014</v>
      </c>
      <c r="D377" s="65"/>
      <c r="E377" s="66"/>
      <c r="F377" s="66"/>
      <c r="G377" s="66"/>
      <c r="H377" s="66"/>
      <c r="I377" s="66"/>
      <c r="J377" s="86"/>
      <c r="K377" s="86"/>
      <c r="L377" s="63"/>
      <c r="M377" s="86">
        <v>50</v>
      </c>
      <c r="N377" s="66">
        <v>80</v>
      </c>
      <c r="O377" s="261"/>
      <c r="P377" s="65">
        <v>1050</v>
      </c>
      <c r="Q377" s="210">
        <f t="shared" ref="Q377" si="503">P377/((N377-M377)*N$4)</f>
        <v>6.9665605095541405</v>
      </c>
      <c r="R377" s="225">
        <f t="shared" ref="R377" si="504">10*Q377/(AVERAGE(D$261,D$262))</f>
        <v>23.144719300844322</v>
      </c>
      <c r="S377" s="86"/>
      <c r="T377" s="86"/>
      <c r="U377" s="86"/>
      <c r="V377" s="65"/>
      <c r="W377" s="66"/>
      <c r="X377" s="66"/>
      <c r="Y377" s="66"/>
      <c r="Z377" s="66"/>
      <c r="AA377" s="86"/>
      <c r="AB377" s="86"/>
      <c r="AC377" s="63"/>
      <c r="AD377" s="87"/>
      <c r="AE377" s="87"/>
      <c r="AF377" s="87"/>
      <c r="AG377" s="66"/>
      <c r="AH377" s="66"/>
      <c r="AI377" s="64"/>
      <c r="AJ377" s="63"/>
      <c r="AK377" s="65"/>
      <c r="AL377" s="66">
        <v>35.200000000000003</v>
      </c>
      <c r="AM377" s="72">
        <v>1935</v>
      </c>
      <c r="AN377" s="208">
        <f t="shared" si="476"/>
        <v>60.479999999999976</v>
      </c>
      <c r="AO377" s="208">
        <f t="shared" si="477"/>
        <v>23.363095238095248</v>
      </c>
      <c r="AP377" s="72">
        <v>1152</v>
      </c>
      <c r="AQ377" s="490">
        <f t="shared" si="491"/>
        <v>69338.559375000012</v>
      </c>
      <c r="AR377" s="76">
        <f t="shared" si="478"/>
        <v>1086.243750000008</v>
      </c>
      <c r="AS377" s="230">
        <f t="shared" si="479"/>
        <v>45.260156250000335</v>
      </c>
      <c r="AT377" s="208">
        <f t="shared" si="500"/>
        <v>732.25488971568666</v>
      </c>
      <c r="AU377" s="66"/>
      <c r="AV377" s="230">
        <f t="shared" si="501"/>
        <v>542.93771052859302</v>
      </c>
      <c r="AW377" s="855">
        <f t="shared" si="459"/>
        <v>0.76875000000000571</v>
      </c>
      <c r="AX377" s="66"/>
      <c r="AY377" s="66"/>
      <c r="AZ377" s="66"/>
      <c r="BA377" s="66"/>
      <c r="BB377" s="66"/>
      <c r="BC377" s="63"/>
      <c r="BD377" s="64"/>
      <c r="BE377" s="64"/>
      <c r="BF377" s="86"/>
      <c r="BG377" s="65"/>
      <c r="BH377" s="66"/>
      <c r="BI377" s="66"/>
      <c r="BJ377" s="66"/>
      <c r="BK377" s="66"/>
      <c r="BL377" s="86"/>
      <c r="BM377" s="86"/>
      <c r="BN377" s="63"/>
      <c r="BO377" s="87"/>
      <c r="BP377" s="87"/>
      <c r="BQ377" s="87"/>
      <c r="BR377" s="66"/>
      <c r="BS377" s="64"/>
      <c r="BT377" s="66"/>
      <c r="BU377" s="67"/>
      <c r="BV377" s="65"/>
      <c r="BW377" s="66">
        <v>50.4</v>
      </c>
      <c r="BX377" s="66">
        <v>1192</v>
      </c>
      <c r="BY377" s="159">
        <f t="shared" si="472"/>
        <v>31.999999999999979</v>
      </c>
      <c r="BZ377" s="159">
        <f t="shared" si="473"/>
        <v>23.312500000000014</v>
      </c>
      <c r="CA377" s="66">
        <v>722</v>
      </c>
      <c r="CB377" s="76">
        <f t="shared" si="482"/>
        <v>63613.456250000003</v>
      </c>
      <c r="CC377" s="208">
        <f t="shared" si="483"/>
        <v>613.28124999999955</v>
      </c>
      <c r="CD377" s="208">
        <f t="shared" si="484"/>
        <v>25.55338541666665</v>
      </c>
      <c r="CE377" s="985">
        <f t="shared" si="502"/>
        <v>625.0956375621663</v>
      </c>
      <c r="CF377" s="66"/>
      <c r="CG377" s="180">
        <f>CC377/(AVERAGE(BY377)*AVERAGE((D$351,D$345,D$364,D$344,D$372,D$374,D$375,D$358,D$360,D$353))*0.01)</f>
        <v>579.35426428355504</v>
      </c>
      <c r="CH377" s="433">
        <f t="shared" si="427"/>
        <v>0.82209282841822995</v>
      </c>
      <c r="CI377" s="66"/>
      <c r="CJ377" s="66"/>
      <c r="CK377" s="66"/>
      <c r="CL377" s="66"/>
      <c r="CM377" s="66"/>
      <c r="CN377" s="110"/>
    </row>
    <row r="378" spans="1:112">
      <c r="A378" s="378">
        <f t="shared" si="412"/>
        <v>41533</v>
      </c>
      <c r="B378" s="663">
        <v>0.33333333333333398</v>
      </c>
      <c r="C378" s="304">
        <f t="shared" si="499"/>
        <v>24</v>
      </c>
      <c r="D378" s="65"/>
      <c r="E378" s="66"/>
      <c r="F378" s="66"/>
      <c r="G378" s="66"/>
      <c r="H378" s="66"/>
      <c r="I378" s="66"/>
      <c r="J378" s="86"/>
      <c r="K378" s="86"/>
      <c r="L378" s="63"/>
      <c r="M378" s="86"/>
      <c r="N378" s="66"/>
      <c r="O378" s="261"/>
      <c r="P378" s="65"/>
      <c r="Q378" s="66"/>
      <c r="R378" s="67"/>
      <c r="S378" s="86"/>
      <c r="T378" s="86"/>
      <c r="U378" s="86"/>
      <c r="V378" s="65"/>
      <c r="W378" s="66"/>
      <c r="X378" s="66"/>
      <c r="Y378" s="66"/>
      <c r="Z378" s="66"/>
      <c r="AA378" s="86"/>
      <c r="AB378" s="86"/>
      <c r="AC378" s="63"/>
      <c r="AD378" s="87"/>
      <c r="AE378" s="87"/>
      <c r="AF378" s="87"/>
      <c r="AG378" s="66"/>
      <c r="AH378" s="66"/>
      <c r="AI378" s="64"/>
      <c r="AJ378" s="63"/>
      <c r="AK378" s="65"/>
      <c r="AL378" s="66">
        <v>35.4</v>
      </c>
      <c r="AM378" s="72">
        <v>1950</v>
      </c>
      <c r="AN378" s="208">
        <f t="shared" si="476"/>
        <v>32.399999999999984</v>
      </c>
      <c r="AO378" s="208">
        <f t="shared" ref="AO378" si="505">AQ$3/AN378</f>
        <v>43.611111111111136</v>
      </c>
      <c r="AP378" s="72">
        <v>1166</v>
      </c>
      <c r="AQ378" s="490">
        <f t="shared" si="491"/>
        <v>70183.415625000009</v>
      </c>
      <c r="AR378" s="76">
        <f t="shared" ref="AR378" si="506">(AQ378-AQ377)/(C378/24)</f>
        <v>844.85624999999709</v>
      </c>
      <c r="AS378" s="230">
        <f t="shared" ref="AS378" si="507">(AQ378-AQ377)/C378</f>
        <v>35.202343749999876</v>
      </c>
      <c r="AT378" s="208">
        <f>AR378/(AVERAGE(AN378,AN377)*(AVERAGE(D$351,D$345,D$364,D$344,D$372,D$374,D$375,D$358,D$360,D$353))*AVERAGE(E$351,E$345,E$364,E$344,E$372,E$374,E$375,E$358,E$360,E$353)*0.0001)</f>
        <v>741.71554720554525</v>
      </c>
      <c r="AU378" s="66"/>
      <c r="AV378" s="230">
        <f t="shared" si="501"/>
        <v>788.26512047113386</v>
      </c>
      <c r="AW378" s="855">
        <f t="shared" si="459"/>
        <v>0.59791666666666465</v>
      </c>
      <c r="AX378" s="66"/>
      <c r="AY378" s="66"/>
      <c r="AZ378" s="66"/>
      <c r="BA378" s="66"/>
      <c r="BB378" s="66"/>
      <c r="BC378" s="63"/>
      <c r="BD378" s="64"/>
      <c r="BE378" s="64"/>
      <c r="BF378" s="86"/>
      <c r="BG378" s="65"/>
      <c r="BH378" s="66"/>
      <c r="BI378" s="66"/>
      <c r="BJ378" s="66"/>
      <c r="BK378" s="66"/>
      <c r="BL378" s="86"/>
      <c r="BM378" s="86"/>
      <c r="BN378" s="63"/>
      <c r="BO378" s="87"/>
      <c r="BP378" s="87"/>
      <c r="BQ378" s="87"/>
      <c r="BR378" s="66"/>
      <c r="BS378" s="64"/>
      <c r="BT378" s="66"/>
      <c r="BU378" s="67"/>
      <c r="BV378" s="65"/>
      <c r="BW378" s="66">
        <v>50.6</v>
      </c>
      <c r="BX378" s="66">
        <v>1196</v>
      </c>
      <c r="BY378" s="159">
        <f t="shared" si="472"/>
        <v>8</v>
      </c>
      <c r="BZ378" s="159">
        <f t="shared" si="473"/>
        <v>93.25</v>
      </c>
      <c r="CA378" s="66">
        <v>730</v>
      </c>
      <c r="CB378" s="76">
        <f t="shared" si="482"/>
        <v>64104.081250000003</v>
      </c>
      <c r="CC378" s="208">
        <f t="shared" si="483"/>
        <v>490.625</v>
      </c>
      <c r="CD378" s="208">
        <f t="shared" si="484"/>
        <v>20.442708333333332</v>
      </c>
      <c r="CE378" s="985">
        <f>CC378/(AVERAGE(BY379,BY378)*(AVERAGE(D$351,D$345,D$364,D$344,D$372,D$374,D$375,D$358,D$360,D$353))*AVERAGE(E$351,E$345,E$364,E$344,E$372,E$374,E$375,E$358,E$360,E$353)*0.0001)</f>
        <v>769.34847699958959</v>
      </c>
      <c r="CF378" s="66"/>
      <c r="CG378" s="180">
        <f>CC378/(AVERAGE(BY378,BY379)*AVERAGE((D$351,D$345,D$364,D$344,D$372,D$374,D$375,D$358,D$360,D$353))*0.01)</f>
        <v>570.44112175611576</v>
      </c>
      <c r="CH378" s="433">
        <f t="shared" si="427"/>
        <v>0.6576742627345844</v>
      </c>
      <c r="CI378" s="66"/>
      <c r="CJ378" s="66"/>
      <c r="CK378" s="66"/>
      <c r="CL378" s="66"/>
      <c r="CM378" s="66"/>
      <c r="CN378" s="110"/>
    </row>
    <row r="379" spans="1:112" s="337" customFormat="1" ht="15">
      <c r="A379" s="309">
        <f t="shared" si="412"/>
        <v>41534</v>
      </c>
      <c r="B379" s="310">
        <v>0.33333333333333398</v>
      </c>
      <c r="C379" s="311">
        <f t="shared" ref="C379:C385" si="508">((A379-A378)+(B379-B378))*24</f>
        <v>24</v>
      </c>
      <c r="D379" s="339">
        <v>4.0199999999999996</v>
      </c>
      <c r="E379" s="365">
        <v>73.88</v>
      </c>
      <c r="F379" s="319"/>
      <c r="G379" s="319">
        <v>5.65</v>
      </c>
      <c r="H379" s="319"/>
      <c r="I379" s="319"/>
      <c r="J379" s="317"/>
      <c r="K379" s="317"/>
      <c r="L379" s="320"/>
      <c r="M379" s="317">
        <v>60</v>
      </c>
      <c r="N379" s="319">
        <v>70</v>
      </c>
      <c r="O379" s="316"/>
      <c r="P379" s="318">
        <v>350</v>
      </c>
      <c r="Q379" s="764">
        <f t="shared" ref="Q379" si="509">P379/((N379-M379)*N$4)</f>
        <v>6.9665605095541396</v>
      </c>
      <c r="R379" s="765">
        <f t="shared" ref="R379" si="510">10*Q379/(AVERAGE(D$261,D$262))</f>
        <v>23.144719300844319</v>
      </c>
      <c r="S379" s="317"/>
      <c r="T379" s="317"/>
      <c r="U379" s="317"/>
      <c r="V379" s="318">
        <v>2.1800000000000002</v>
      </c>
      <c r="W379" s="319">
        <v>63.08</v>
      </c>
      <c r="X379" s="319"/>
      <c r="Y379" s="319"/>
      <c r="Z379" s="319"/>
      <c r="AA379" s="317"/>
      <c r="AB379" s="317"/>
      <c r="AC379" s="320"/>
      <c r="AD379" s="1029">
        <f>D375*(100-E375)/(100-W379)</f>
        <v>1.9115790899241596</v>
      </c>
      <c r="AE379" s="753">
        <f>D375-V379</f>
        <v>1.0499999999999998</v>
      </c>
      <c r="AF379" s="864">
        <f>100*(AVERAGE(D$351,D$345,D$364,D$379,D$372,D$374,D$375,D$358,D$360,D$353)-V379)/AVERAGE(D$351,D$345,D$364,D$379,D$372,D$374,D$375,D$358,D$360,D$353)</f>
        <v>35.655253837072017</v>
      </c>
      <c r="AG379" s="864">
        <f>100*(1-((100-AVERAGE(E$351,E$345,E$364,E$379,E$372,E$374,E$375,E$358,E$360,E$353))/(100-W379)))</f>
        <v>29.504333694474539</v>
      </c>
      <c r="AH379" s="753">
        <f>E375-W379</f>
        <v>15.070000000000007</v>
      </c>
      <c r="AI379" s="847">
        <f>100*(1-((V379*W379)/(AVERAGE(D$351,D$345,D$364,D$379,D$372,D$374,D$375,D$358,D$360,D$353)*AVERAGE(E$351,E$345,E$364,E$379,E$372,E$374,E$375,E$358,E$360,E$353))))</f>
        <v>45.130431536405226</v>
      </c>
      <c r="AJ379" s="847">
        <f>100*100*((AVERAGE(E$351,E$345,E$364,E$379,E$372,E$374,E$375,E$358,E$360,E$353)-W379)/((100-W379)*AVERAGE(E$351,E$345,E$364,E$379,E$372,E$374,E$375,E$358,E$360,E$353)))</f>
        <v>39.885273943836999</v>
      </c>
      <c r="AK379" s="318">
        <v>7.01</v>
      </c>
      <c r="AL379" s="319">
        <v>35.299999999999997</v>
      </c>
      <c r="AM379" s="313">
        <v>1988</v>
      </c>
      <c r="AN379" s="334">
        <f t="shared" ref="AN379:AN385" si="511">(AM379-AM378)*AQ$1/((C378)/24)</f>
        <v>82.080000000000013</v>
      </c>
      <c r="AO379" s="334">
        <f t="shared" ref="AO379:AO385" si="512">AQ$3/AN379</f>
        <v>17.214912280701753</v>
      </c>
      <c r="AP379" s="313">
        <v>1182</v>
      </c>
      <c r="AQ379" s="490">
        <f t="shared" si="491"/>
        <v>71148.965625000012</v>
      </c>
      <c r="AR379" s="348">
        <f t="shared" ref="AR379:AR385" si="513">(AQ379-AQ378)/(C379/24)</f>
        <v>965.55000000000291</v>
      </c>
      <c r="AS379" s="512">
        <f t="shared" ref="AS379:AS385" si="514">(AQ379-AQ378)/C379</f>
        <v>40.231250000000124</v>
      </c>
      <c r="AT379" s="334">
        <f>AR379/(AVERAGE(AN379)*(AVERAGE(D$351,D$345,D$364,D$379,D$372,D$374,D$375,D$358,D$360,D$353))*AVERAGE(E$351,E$345,E$364,E$379,E$372,E$374,E$375,E$358,E$360,E$353)*0.0001)</f>
        <v>469.375899629549</v>
      </c>
      <c r="AU379" s="334">
        <f>(AQ379-AQ373)/(AVERAGE(AN373:AN379)*((AVERAGE(D$351,D$345,D$364,D$379,D$372,D$374,D$375,D$358,D$360,D$353)*AVERAGE(E$351,E$345,E$364,E$379,E$372,E$374,E$375,E$358,E$360,E$353))-(V379*W379))*0.0001*(SUM(C373:C379)/24))</f>
        <v>1216.0502913417424</v>
      </c>
      <c r="AV379" s="512">
        <f>AR379/(AVERAGE(AN379)*AVERAGE(D$351,D$345,D$364,D$379,D$372,D$374,D$375,D$358,D$360,D$353)*0.01)</f>
        <v>347.21143423296627</v>
      </c>
      <c r="AW379" s="848">
        <f t="shared" si="459"/>
        <v>0.68333333333333535</v>
      </c>
      <c r="AX379" s="319">
        <v>66.5</v>
      </c>
      <c r="AY379" s="319">
        <v>33.4</v>
      </c>
      <c r="AZ379" s="319">
        <v>0</v>
      </c>
      <c r="BA379" s="319">
        <v>34</v>
      </c>
      <c r="BB379" s="319">
        <v>115</v>
      </c>
      <c r="BC379" s="320"/>
      <c r="BD379" s="368"/>
      <c r="BE379" s="368"/>
      <c r="BF379" s="317"/>
      <c r="BG379" s="318">
        <v>2.42</v>
      </c>
      <c r="BH379" s="319">
        <v>59.87</v>
      </c>
      <c r="BI379" s="319"/>
      <c r="BJ379" s="319"/>
      <c r="BK379" s="319"/>
      <c r="BL379" s="317"/>
      <c r="BM379" s="317"/>
      <c r="BN379" s="320"/>
      <c r="BO379" s="859">
        <f>D375*(100-E375)/(100-BH379)</f>
        <v>1.7586718165960622</v>
      </c>
      <c r="BP379" s="753">
        <f>D375-BG379</f>
        <v>0.81</v>
      </c>
      <c r="BQ379" s="860">
        <f>100*(AVERAGE(D$351,D$345,D$364,D$379,D$372,D$374,D$375,D$358,D$360,D$353)-BG379)/AVERAGE(D$351,D$345,D$364,D$379,D$372,D$374,D$375,D$358,D$360,D$353)</f>
        <v>28.57142857142858</v>
      </c>
      <c r="BR379" s="861">
        <f>100*(1-((100-AVERAGE(E$351,E$345,E$364,E$379,E$372,E$374,E$375,E$358,E$360,E$353))/(100-BH379)))</f>
        <v>35.143284325940691</v>
      </c>
      <c r="BS379" s="858">
        <f>E375-BH379</f>
        <v>18.280000000000008</v>
      </c>
      <c r="BT379" s="862">
        <f>100*(1-((BG379*BH379)/(AVERAGE(D$351,D$345,D$364,D$379,D$372,D$374,D$375,D$358,D$360,D$353)*AVERAGE(E$351,E$345,E$364,E$379,E$372,E$374,E$375,E$358,E$360,E$353))))</f>
        <v>42.189331628721696</v>
      </c>
      <c r="BU379" s="863">
        <f>100*100*((AVERAGE(E$351,E$345,E$364,E$379,E$372,E$374,E$375,E$358,E$360,E$353)-BH379)/((100-BH379)*AVERAGE(E$351,E$345,E$364,E$379,E$372,E$374,E$375,E$358,E$360,E$353)))</f>
        <v>47.508258859233365</v>
      </c>
      <c r="BV379" s="318">
        <v>7.32</v>
      </c>
      <c r="BW379" s="319">
        <v>50.7</v>
      </c>
      <c r="BX379" s="319">
        <v>1218</v>
      </c>
      <c r="BY379" s="462">
        <f t="shared" ref="BY379:BY385" si="515">(BX379-BX378)*CB$1/((C379)/24)</f>
        <v>44</v>
      </c>
      <c r="BZ379" s="462">
        <f t="shared" ref="BZ379:BZ385" si="516">CB$3/BY379</f>
        <v>16.954545454545453</v>
      </c>
      <c r="CA379" s="319">
        <v>740</v>
      </c>
      <c r="CB379" s="328">
        <f t="shared" si="482"/>
        <v>64717.362500000003</v>
      </c>
      <c r="CC379" s="334">
        <f t="shared" ref="CC379:CC385" si="517">(CB379-CB378)/((C379/24))</f>
        <v>613.28125</v>
      </c>
      <c r="CD379" s="334">
        <f t="shared" ref="CD379:CD385" si="518">(CB379-CB378)/(C379)</f>
        <v>25.553385416666668</v>
      </c>
      <c r="CE379" s="984">
        <f>CC379/(AVERAGE(BY378,BY379)*(AVERAGE(D$351,D$345,D$364,D$379,D$372,D$374,D$375,D$358,D$360,D$353))*AVERAGE(E$351,E$345,E$364,E$379,E$372,E$374,E$375,E$358,E$360,E$353)*0.0001)</f>
        <v>941.17353232472635</v>
      </c>
      <c r="CF379" s="441">
        <f>(CB379-CB373)/(AVERAGE(BY373:BY379)*((AVERAGE(D$351,D$345,D$364,D$379,D$372,D$374,D$375,D$358,D$360,D$353)*AVERAGE(E$351,E$345,E$364,E$379,E$372,E$374,E$375,E$358,E$360,E$353))-(BG379*BH379))*0.0001*(SUM(C373:C379)/24))</f>
        <v>1559.4785403535591</v>
      </c>
      <c r="CG379" s="441">
        <f>CC379/(AVERAGE(BY379)*AVERAGE((D$351,D$345,D$364,D$379,D$372,D$374,D$375,D$358,D$360,D$353))*0.01)</f>
        <v>411.39935735751851</v>
      </c>
      <c r="CH379" s="477">
        <f t="shared" si="427"/>
        <v>0.82209282841823061</v>
      </c>
      <c r="CI379" s="319">
        <v>67.099999999999994</v>
      </c>
      <c r="CJ379" s="319">
        <v>32.799999999999997</v>
      </c>
      <c r="CK379" s="319">
        <v>0</v>
      </c>
      <c r="CL379" s="319">
        <v>19</v>
      </c>
      <c r="CM379" s="319">
        <v>85</v>
      </c>
      <c r="CN379" s="442"/>
    </row>
    <row r="380" spans="1:112">
      <c r="A380" s="378">
        <f t="shared" si="412"/>
        <v>41535</v>
      </c>
      <c r="B380" s="663">
        <v>0.33333333333333398</v>
      </c>
      <c r="C380" s="304">
        <f t="shared" si="508"/>
        <v>24</v>
      </c>
      <c r="D380" s="65"/>
      <c r="E380" s="66"/>
      <c r="F380" s="66"/>
      <c r="G380" s="66"/>
      <c r="H380" s="66"/>
      <c r="I380" s="66"/>
      <c r="J380" s="86"/>
      <c r="K380" s="86"/>
      <c r="L380" s="63"/>
      <c r="M380" s="86"/>
      <c r="N380" s="66"/>
      <c r="O380" s="261"/>
      <c r="P380" s="65"/>
      <c r="Q380" s="66"/>
      <c r="R380" s="67"/>
      <c r="S380" s="86"/>
      <c r="T380" s="86"/>
      <c r="U380" s="86"/>
      <c r="V380" s="65"/>
      <c r="W380" s="66"/>
      <c r="X380" s="66"/>
      <c r="Y380" s="66"/>
      <c r="Z380" s="66"/>
      <c r="AA380" s="86"/>
      <c r="AB380" s="86"/>
      <c r="AC380" s="63"/>
      <c r="AD380" s="87"/>
      <c r="AE380" s="87"/>
      <c r="AF380" s="87"/>
      <c r="AG380" s="66"/>
      <c r="AH380" s="66"/>
      <c r="AI380" s="64"/>
      <c r="AJ380" s="63"/>
      <c r="AK380" s="65"/>
      <c r="AL380" s="66">
        <v>35.200000000000003</v>
      </c>
      <c r="AM380" s="72">
        <v>2004</v>
      </c>
      <c r="AN380" s="208">
        <f t="shared" si="511"/>
        <v>34.56</v>
      </c>
      <c r="AO380" s="208">
        <f t="shared" si="512"/>
        <v>40.885416666666664</v>
      </c>
      <c r="AP380" s="72">
        <v>1198</v>
      </c>
      <c r="AQ380" s="490">
        <f t="shared" si="491"/>
        <v>72114.515625</v>
      </c>
      <c r="AR380" s="76">
        <f t="shared" si="513"/>
        <v>965.54999999998836</v>
      </c>
      <c r="AS380" s="230">
        <f t="shared" si="514"/>
        <v>40.231249999999513</v>
      </c>
      <c r="AT380" s="208">
        <f>AR380/(AVERAGE(AN379,AN380)*(AVERAGE(D$351,D$345,D$364,D$379,D$372,D$374,D$375,D$358,D$360,D$353))*AVERAGE(E$351,E$345,E$364,E$379,E$372,E$374,E$375,E$358,E$360,E$353)*0.0001)</f>
        <v>660.60311799713315</v>
      </c>
      <c r="AU380" s="66"/>
      <c r="AV380" s="230">
        <f t="shared" ref="AV380:AV385" si="519">AR380/(AVERAGE(AN380)*AVERAGE(D$351,D$345,D$364,D$379,D$372,D$374,D$375,D$358,D$360,D$353)*0.01)</f>
        <v>824.6271563032825</v>
      </c>
      <c r="AW380" s="855">
        <f t="shared" si="459"/>
        <v>0.68333333333332513</v>
      </c>
      <c r="AX380" s="66"/>
      <c r="AY380" s="66"/>
      <c r="AZ380" s="66"/>
      <c r="BA380" s="66"/>
      <c r="BB380" s="66"/>
      <c r="BC380" s="63"/>
      <c r="BD380" s="64"/>
      <c r="BE380" s="64"/>
      <c r="BF380" s="86"/>
      <c r="BG380" s="65"/>
      <c r="BH380" s="66"/>
      <c r="BI380" s="66"/>
      <c r="BJ380" s="66"/>
      <c r="BK380" s="66"/>
      <c r="BL380" s="86"/>
      <c r="BM380" s="86"/>
      <c r="BN380" s="63"/>
      <c r="BO380" s="87"/>
      <c r="BP380" s="87"/>
      <c r="BQ380" s="87"/>
      <c r="BR380" s="66"/>
      <c r="BS380" s="64"/>
      <c r="BT380" s="66"/>
      <c r="BU380" s="67"/>
      <c r="BV380" s="65"/>
      <c r="BW380" s="66">
        <v>50.4</v>
      </c>
      <c r="BX380" s="66">
        <v>1228</v>
      </c>
      <c r="BY380" s="159">
        <f t="shared" si="515"/>
        <v>20</v>
      </c>
      <c r="BZ380" s="159">
        <f t="shared" si="516"/>
        <v>37.299999999999997</v>
      </c>
      <c r="CA380" s="66">
        <v>748</v>
      </c>
      <c r="CB380" s="66">
        <f t="shared" si="482"/>
        <v>65207.987500000003</v>
      </c>
      <c r="CC380" s="208">
        <f t="shared" si="517"/>
        <v>490.625</v>
      </c>
      <c r="CD380" s="208">
        <f t="shared" si="518"/>
        <v>20.442708333333332</v>
      </c>
      <c r="CE380" s="985">
        <f t="shared" ref="CE380:CE385" si="520">CC380/(AVERAGE(BY379,BY380)*(AVERAGE(D$351,D$345,D$364,D$379,D$372,D$374,D$375,D$358,D$360,D$353))*AVERAGE(E$351,E$345,E$364,E$379,E$372,E$374,E$375,E$358,E$360,E$353)*0.0001)</f>
        <v>611.76279601107206</v>
      </c>
      <c r="CF380" s="66"/>
      <c r="CG380" s="180">
        <f>CC380/(AVERAGE(BY380)*AVERAGE((D$351,D$345,D$364,D$379,D$372,D$374,D$375,D$358,D$360,D$353))*0.01)</f>
        <v>724.06286894923244</v>
      </c>
      <c r="CH380" s="433">
        <f t="shared" si="427"/>
        <v>0.6576742627345844</v>
      </c>
      <c r="CI380" s="66"/>
      <c r="CJ380" s="66"/>
      <c r="CK380" s="66"/>
      <c r="CL380" s="66"/>
      <c r="CM380" s="66"/>
      <c r="CN380" s="110"/>
    </row>
    <row r="381" spans="1:112" s="933" customFormat="1" ht="15">
      <c r="A381" s="880">
        <f t="shared" si="412"/>
        <v>41536</v>
      </c>
      <c r="B381" s="881">
        <v>0.33333333333333398</v>
      </c>
      <c r="C381" s="882">
        <f t="shared" si="508"/>
        <v>24</v>
      </c>
      <c r="D381" s="920"/>
      <c r="E381" s="921"/>
      <c r="F381" s="921"/>
      <c r="G381" s="921"/>
      <c r="H381" s="921"/>
      <c r="I381" s="921"/>
      <c r="J381" s="922"/>
      <c r="K381" s="922"/>
      <c r="L381" s="923"/>
      <c r="M381" s="922">
        <v>60</v>
      </c>
      <c r="N381" s="921">
        <v>80</v>
      </c>
      <c r="O381" s="1030"/>
      <c r="P381" s="920">
        <v>700</v>
      </c>
      <c r="Q381" s="934">
        <f t="shared" ref="Q381" si="521">P381/((N381-M381)*N$4)</f>
        <v>6.9665605095541396</v>
      </c>
      <c r="R381" s="935">
        <f t="shared" ref="R381" si="522">10*Q381/(AVERAGE(D$261,D$262))</f>
        <v>23.144719300844319</v>
      </c>
      <c r="S381" s="922"/>
      <c r="T381" s="922"/>
      <c r="U381" s="922"/>
      <c r="V381" s="920"/>
      <c r="W381" s="921"/>
      <c r="X381" s="921"/>
      <c r="Y381" s="921"/>
      <c r="Z381" s="921"/>
      <c r="AA381" s="922"/>
      <c r="AB381" s="922"/>
      <c r="AC381" s="923"/>
      <c r="AD381" s="927"/>
      <c r="AE381" s="927"/>
      <c r="AF381" s="927"/>
      <c r="AG381" s="921"/>
      <c r="AH381" s="921"/>
      <c r="AI381" s="928"/>
      <c r="AJ381" s="923"/>
      <c r="AK381" s="920"/>
      <c r="AL381" s="921">
        <v>35.1</v>
      </c>
      <c r="AM381" s="929">
        <v>2021</v>
      </c>
      <c r="AN381" s="885">
        <f t="shared" si="511"/>
        <v>36.72</v>
      </c>
      <c r="AO381" s="885">
        <f t="shared" si="512"/>
        <v>38.480392156862749</v>
      </c>
      <c r="AP381" s="929">
        <v>1210</v>
      </c>
      <c r="AQ381" s="490">
        <f t="shared" si="491"/>
        <v>72838.678125000006</v>
      </c>
      <c r="AR381" s="883">
        <f t="shared" si="513"/>
        <v>724.16250000000582</v>
      </c>
      <c r="AS381" s="884">
        <f t="shared" si="514"/>
        <v>30.173437500000244</v>
      </c>
      <c r="AT381" s="885">
        <f t="shared" ref="AT381:AT385" si="523">AR381/(AVERAGE(AN381)*(AVERAGE(D$351,D$345,D$364,D$379,D$372,D$374,D$375,D$358,D$360,D$353))*AVERAGE(E$351,E$345,E$364,E$379,E$372,E$374,E$375,E$358,E$360,E$353)*0.0001)</f>
        <v>786.89489055542447</v>
      </c>
      <c r="AU381" s="921"/>
      <c r="AV381" s="884">
        <f t="shared" si="519"/>
        <v>582.08975739056416</v>
      </c>
      <c r="AW381" s="906">
        <f t="shared" si="459"/>
        <v>0.51250000000000417</v>
      </c>
      <c r="AX381" s="921"/>
      <c r="AY381" s="921"/>
      <c r="AZ381" s="921"/>
      <c r="BA381" s="921"/>
      <c r="BB381" s="921"/>
      <c r="BC381" s="923"/>
      <c r="BD381" s="928"/>
      <c r="BE381" s="928"/>
      <c r="BF381" s="922"/>
      <c r="BG381" s="920"/>
      <c r="BH381" s="921"/>
      <c r="BI381" s="921"/>
      <c r="BJ381" s="921"/>
      <c r="BK381" s="921"/>
      <c r="BL381" s="922"/>
      <c r="BM381" s="922"/>
      <c r="BN381" s="923"/>
      <c r="BO381" s="927"/>
      <c r="BP381" s="927"/>
      <c r="BQ381" s="927"/>
      <c r="BR381" s="921"/>
      <c r="BS381" s="928"/>
      <c r="BT381" s="921"/>
      <c r="BU381" s="931"/>
      <c r="BV381" s="920"/>
      <c r="BW381" s="921">
        <v>50.5</v>
      </c>
      <c r="BX381" s="921">
        <v>1255</v>
      </c>
      <c r="BY381" s="907">
        <f t="shared" si="515"/>
        <v>54</v>
      </c>
      <c r="BZ381" s="907">
        <f t="shared" si="516"/>
        <v>13.814814814814815</v>
      </c>
      <c r="CA381" s="921">
        <v>761</v>
      </c>
      <c r="CB381" s="929">
        <f t="shared" si="482"/>
        <v>66005.253125000003</v>
      </c>
      <c r="CC381" s="885">
        <f t="shared" si="517"/>
        <v>797.265625</v>
      </c>
      <c r="CD381" s="885">
        <f t="shared" si="518"/>
        <v>33.219401041666664</v>
      </c>
      <c r="CE381" s="1031">
        <f t="shared" si="520"/>
        <v>859.77474033988494</v>
      </c>
      <c r="CF381" s="921"/>
      <c r="CG381" s="1032">
        <f>CC381/(AVERAGE(BY381)*AVERAGE((D$351,D$345,D$364,D$379,D$372,D$374,D$375,D$358,D$360,D$353))*0.01)</f>
        <v>435.7785785342603</v>
      </c>
      <c r="CH381" s="908">
        <f t="shared" si="427"/>
        <v>1.0687206769436997</v>
      </c>
      <c r="CI381" s="921"/>
      <c r="CJ381" s="921"/>
      <c r="CK381" s="921"/>
      <c r="CL381" s="921"/>
      <c r="CM381" s="921"/>
      <c r="CN381" s="932" t="s">
        <v>165</v>
      </c>
    </row>
    <row r="382" spans="1:112" s="933" customFormat="1">
      <c r="A382" s="880">
        <f t="shared" si="412"/>
        <v>41537</v>
      </c>
      <c r="B382" s="881">
        <v>0.33333333333333398</v>
      </c>
      <c r="C382" s="882">
        <f t="shared" si="508"/>
        <v>24</v>
      </c>
      <c r="D382" s="920"/>
      <c r="E382" s="921"/>
      <c r="F382" s="921"/>
      <c r="G382" s="921">
        <v>5.75</v>
      </c>
      <c r="H382" s="921"/>
      <c r="I382" s="921"/>
      <c r="J382" s="922"/>
      <c r="K382" s="922"/>
      <c r="L382" s="923"/>
      <c r="M382" s="922"/>
      <c r="N382" s="921"/>
      <c r="O382" s="1030"/>
      <c r="P382" s="920"/>
      <c r="Q382" s="921"/>
      <c r="R382" s="931"/>
      <c r="S382" s="922"/>
      <c r="T382" s="922"/>
      <c r="U382" s="922"/>
      <c r="V382" s="920"/>
      <c r="W382" s="921"/>
      <c r="X382" s="921"/>
      <c r="Y382" s="921"/>
      <c r="Z382" s="921"/>
      <c r="AA382" s="922"/>
      <c r="AB382" s="922"/>
      <c r="AC382" s="923"/>
      <c r="AD382" s="927"/>
      <c r="AE382" s="927"/>
      <c r="AF382" s="927"/>
      <c r="AG382" s="921"/>
      <c r="AH382" s="921"/>
      <c r="AI382" s="928"/>
      <c r="AJ382" s="923"/>
      <c r="AK382" s="920"/>
      <c r="AL382" s="921">
        <v>35.4</v>
      </c>
      <c r="AM382" s="929">
        <v>2053</v>
      </c>
      <c r="AN382" s="885">
        <f t="shared" si="511"/>
        <v>69.12</v>
      </c>
      <c r="AO382" s="885">
        <f t="shared" si="512"/>
        <v>20.442708333333332</v>
      </c>
      <c r="AP382" s="929">
        <v>1225</v>
      </c>
      <c r="AQ382" s="490">
        <f t="shared" si="491"/>
        <v>73743.881250000006</v>
      </c>
      <c r="AR382" s="883">
        <f t="shared" si="513"/>
        <v>905.203125</v>
      </c>
      <c r="AS382" s="884">
        <f t="shared" si="514"/>
        <v>37.716796875</v>
      </c>
      <c r="AT382" s="885">
        <f t="shared" si="523"/>
        <v>522.54738825945731</v>
      </c>
      <c r="AU382" s="921"/>
      <c r="AV382" s="884">
        <f t="shared" si="519"/>
        <v>386.54397951716834</v>
      </c>
      <c r="AW382" s="906">
        <f t="shared" si="459"/>
        <v>0.640625</v>
      </c>
      <c r="AX382" s="921">
        <v>66.400000000000006</v>
      </c>
      <c r="AY382" s="921">
        <v>33.299999999999997</v>
      </c>
      <c r="AZ382" s="921">
        <v>0</v>
      </c>
      <c r="BA382" s="921">
        <v>34</v>
      </c>
      <c r="BB382" s="921">
        <v>125</v>
      </c>
      <c r="BC382" s="923"/>
      <c r="BD382" s="928"/>
      <c r="BE382" s="928"/>
      <c r="BF382" s="922"/>
      <c r="BG382" s="920"/>
      <c r="BH382" s="921"/>
      <c r="BI382" s="921"/>
      <c r="BJ382" s="921"/>
      <c r="BK382" s="921"/>
      <c r="BL382" s="922"/>
      <c r="BM382" s="922"/>
      <c r="BN382" s="923"/>
      <c r="BO382" s="927"/>
      <c r="BP382" s="927"/>
      <c r="BQ382" s="927"/>
      <c r="BR382" s="921"/>
      <c r="BS382" s="928"/>
      <c r="BT382" s="921"/>
      <c r="BU382" s="931"/>
      <c r="BV382" s="920"/>
      <c r="BW382" s="921">
        <v>50.5</v>
      </c>
      <c r="BX382" s="921">
        <v>1262</v>
      </c>
      <c r="BY382" s="907">
        <f t="shared" si="515"/>
        <v>14</v>
      </c>
      <c r="BZ382" s="907">
        <f t="shared" si="516"/>
        <v>53.285714285714285</v>
      </c>
      <c r="CA382" s="921">
        <v>769</v>
      </c>
      <c r="CB382" s="929">
        <f t="shared" si="482"/>
        <v>66495.878125000003</v>
      </c>
      <c r="CC382" s="885">
        <f t="shared" si="517"/>
        <v>490.625</v>
      </c>
      <c r="CD382" s="885">
        <f t="shared" si="518"/>
        <v>20.442708333333332</v>
      </c>
      <c r="CE382" s="1031">
        <f t="shared" si="520"/>
        <v>575.77674918689138</v>
      </c>
      <c r="CF382" s="921"/>
      <c r="CG382" s="1032">
        <f>CC382/(AVERAGE(BY382)*AVERAGE((D$351,D$345,D$364,D$379,D$372,D$374,D$375,D$358,D$360,D$353))*0.01)</f>
        <v>1034.3755270703323</v>
      </c>
      <c r="CH382" s="908">
        <f t="shared" si="427"/>
        <v>0.6576742627345844</v>
      </c>
      <c r="CI382" s="921">
        <v>66.400000000000006</v>
      </c>
      <c r="CJ382" s="921">
        <v>32.799999999999997</v>
      </c>
      <c r="CK382" s="921">
        <v>0</v>
      </c>
      <c r="CL382" s="921">
        <v>21</v>
      </c>
      <c r="CM382" s="921">
        <v>126</v>
      </c>
      <c r="CN382" s="932" t="s">
        <v>165</v>
      </c>
    </row>
    <row r="383" spans="1:112" s="933" customFormat="1" ht="15">
      <c r="A383" s="880">
        <f t="shared" si="412"/>
        <v>41538</v>
      </c>
      <c r="B383" s="881">
        <v>0.33333333333333398</v>
      </c>
      <c r="C383" s="882">
        <f t="shared" si="508"/>
        <v>24</v>
      </c>
      <c r="D383" s="920"/>
      <c r="E383" s="921"/>
      <c r="F383" s="921"/>
      <c r="G383" s="921"/>
      <c r="H383" s="921"/>
      <c r="I383" s="921"/>
      <c r="J383" s="922"/>
      <c r="K383" s="922"/>
      <c r="L383" s="923"/>
      <c r="M383" s="922">
        <v>55</v>
      </c>
      <c r="N383" s="921">
        <v>85</v>
      </c>
      <c r="O383" s="1030"/>
      <c r="P383" s="920">
        <v>1050</v>
      </c>
      <c r="Q383" s="934">
        <f t="shared" ref="Q383" si="524">P383/((N383-M383)*N$4)</f>
        <v>6.9665605095541405</v>
      </c>
      <c r="R383" s="935">
        <f t="shared" ref="R383" si="525">10*Q383/(AVERAGE(D$261,D$262))</f>
        <v>23.144719300844322</v>
      </c>
      <c r="S383" s="922"/>
      <c r="T383" s="922"/>
      <c r="U383" s="922"/>
      <c r="V383" s="920"/>
      <c r="W383" s="921"/>
      <c r="X383" s="921"/>
      <c r="Y383" s="921"/>
      <c r="Z383" s="921"/>
      <c r="AA383" s="922"/>
      <c r="AB383" s="922"/>
      <c r="AC383" s="923"/>
      <c r="AD383" s="927"/>
      <c r="AE383" s="927"/>
      <c r="AF383" s="927"/>
      <c r="AG383" s="921"/>
      <c r="AH383" s="921"/>
      <c r="AI383" s="928"/>
      <c r="AJ383" s="923"/>
      <c r="AK383" s="920"/>
      <c r="AL383" s="921">
        <v>35.5</v>
      </c>
      <c r="AM383" s="929">
        <v>2071</v>
      </c>
      <c r="AN383" s="885">
        <f t="shared" si="511"/>
        <v>38.880000000000003</v>
      </c>
      <c r="AO383" s="885">
        <f t="shared" si="512"/>
        <v>36.342592592592588</v>
      </c>
      <c r="AP383" s="929">
        <v>1239</v>
      </c>
      <c r="AQ383" s="490">
        <f t="shared" si="491"/>
        <v>74588.737500000003</v>
      </c>
      <c r="AR383" s="883">
        <f t="shared" si="513"/>
        <v>844.85624999999709</v>
      </c>
      <c r="AS383" s="884">
        <f t="shared" si="514"/>
        <v>35.202343749999876</v>
      </c>
      <c r="AT383" s="885">
        <f t="shared" si="523"/>
        <v>867.04159237124475</v>
      </c>
      <c r="AU383" s="921"/>
      <c r="AV383" s="884">
        <f t="shared" si="519"/>
        <v>641.37667712478094</v>
      </c>
      <c r="AW383" s="906">
        <f t="shared" si="459"/>
        <v>0.59791666666666465</v>
      </c>
      <c r="AX383" s="921"/>
      <c r="AY383" s="921"/>
      <c r="AZ383" s="921"/>
      <c r="BA383" s="921"/>
      <c r="BB383" s="921"/>
      <c r="BC383" s="923"/>
      <c r="BD383" s="928"/>
      <c r="BE383" s="928"/>
      <c r="BF383" s="922"/>
      <c r="BG383" s="920"/>
      <c r="BH383" s="921"/>
      <c r="BI383" s="921"/>
      <c r="BJ383" s="921"/>
      <c r="BK383" s="921"/>
      <c r="BL383" s="922"/>
      <c r="BM383" s="922"/>
      <c r="BN383" s="923"/>
      <c r="BO383" s="927"/>
      <c r="BP383" s="927"/>
      <c r="BQ383" s="927"/>
      <c r="BR383" s="921"/>
      <c r="BS383" s="928"/>
      <c r="BT383" s="921"/>
      <c r="BU383" s="931"/>
      <c r="BV383" s="920"/>
      <c r="BW383" s="921">
        <v>50.6</v>
      </c>
      <c r="BX383" s="921">
        <v>1282</v>
      </c>
      <c r="BY383" s="907">
        <f t="shared" si="515"/>
        <v>40</v>
      </c>
      <c r="BZ383" s="907">
        <f t="shared" si="516"/>
        <v>18.649999999999999</v>
      </c>
      <c r="CA383" s="921">
        <v>780</v>
      </c>
      <c r="CB383" s="929">
        <f t="shared" si="482"/>
        <v>67170.487500000003</v>
      </c>
      <c r="CC383" s="885">
        <f t="shared" si="517"/>
        <v>674.609375</v>
      </c>
      <c r="CD383" s="885">
        <f t="shared" si="518"/>
        <v>28.108723958333332</v>
      </c>
      <c r="CE383" s="1031">
        <f t="shared" si="520"/>
        <v>996.9467786847099</v>
      </c>
      <c r="CF383" s="921"/>
      <c r="CG383" s="1032">
        <f>CC383/(AVERAGE(BY383)*AVERAGE((D$351,D$345,D$364,D$379,D$372,D$374,D$375,D$358,D$360,D$353))*0.01)</f>
        <v>497.79322240259734</v>
      </c>
      <c r="CH383" s="908">
        <f t="shared" si="427"/>
        <v>0.90430211126005366</v>
      </c>
      <c r="CI383" s="921"/>
      <c r="CJ383" s="921"/>
      <c r="CK383" s="921"/>
      <c r="CL383" s="921"/>
      <c r="CM383" s="921"/>
      <c r="CN383" s="932" t="s">
        <v>165</v>
      </c>
    </row>
    <row r="384" spans="1:112">
      <c r="A384" s="378">
        <f t="shared" si="412"/>
        <v>41539</v>
      </c>
      <c r="B384" s="663">
        <v>0.33333333333333398</v>
      </c>
      <c r="C384" s="304">
        <f t="shared" si="508"/>
        <v>24</v>
      </c>
      <c r="D384" s="65"/>
      <c r="E384" s="66"/>
      <c r="F384" s="66"/>
      <c r="G384" s="66"/>
      <c r="H384" s="66"/>
      <c r="I384" s="66"/>
      <c r="J384" s="86"/>
      <c r="K384" s="86"/>
      <c r="L384" s="63"/>
      <c r="M384" s="86"/>
      <c r="N384" s="66"/>
      <c r="O384" s="261"/>
      <c r="P384" s="65"/>
      <c r="Q384" s="66"/>
      <c r="R384" s="67"/>
      <c r="S384" s="86"/>
      <c r="T384" s="86"/>
      <c r="U384" s="86"/>
      <c r="V384" s="65"/>
      <c r="W384" s="66"/>
      <c r="X384" s="66"/>
      <c r="Y384" s="66"/>
      <c r="Z384" s="66"/>
      <c r="AA384" s="86"/>
      <c r="AB384" s="86"/>
      <c r="AC384" s="63"/>
      <c r="AD384" s="87"/>
      <c r="AE384" s="87"/>
      <c r="AF384" s="87"/>
      <c r="AG384" s="66"/>
      <c r="AH384" s="66"/>
      <c r="AI384" s="64"/>
      <c r="AJ384" s="63"/>
      <c r="AK384" s="65"/>
      <c r="AL384" s="66">
        <v>35.299999999999997</v>
      </c>
      <c r="AM384" s="72">
        <v>2111</v>
      </c>
      <c r="AN384" s="208">
        <f t="shared" si="511"/>
        <v>86.4</v>
      </c>
      <c r="AO384" s="208">
        <f t="shared" si="512"/>
        <v>16.354166666666664</v>
      </c>
      <c r="AP384" s="72">
        <v>1253</v>
      </c>
      <c r="AQ384" s="490">
        <f t="shared" si="491"/>
        <v>75433.59375</v>
      </c>
      <c r="AR384" s="76">
        <f t="shared" si="513"/>
        <v>844.85624999999709</v>
      </c>
      <c r="AS384" s="230">
        <f t="shared" si="514"/>
        <v>35.202343749999876</v>
      </c>
      <c r="AT384" s="208">
        <f t="shared" si="523"/>
        <v>390.16871656706013</v>
      </c>
      <c r="AU384" s="66"/>
      <c r="AV384" s="230">
        <f t="shared" si="519"/>
        <v>288.61950470615136</v>
      </c>
      <c r="AW384" s="855">
        <f t="shared" si="459"/>
        <v>0.59791666666666465</v>
      </c>
      <c r="AX384" s="66"/>
      <c r="AY384" s="66"/>
      <c r="AZ384" s="66"/>
      <c r="BA384" s="66"/>
      <c r="BB384" s="66"/>
      <c r="BC384" s="63"/>
      <c r="BD384" s="64"/>
      <c r="BE384" s="64"/>
      <c r="BF384" s="86"/>
      <c r="BG384" s="65"/>
      <c r="BH384" s="66"/>
      <c r="BI384" s="66"/>
      <c r="BJ384" s="66"/>
      <c r="BK384" s="66"/>
      <c r="BL384" s="86"/>
      <c r="BM384" s="86"/>
      <c r="BN384" s="63"/>
      <c r="BO384" s="87"/>
      <c r="BP384" s="87"/>
      <c r="BQ384" s="87"/>
      <c r="BR384" s="66"/>
      <c r="BS384" s="64"/>
      <c r="BT384" s="66"/>
      <c r="BU384" s="67"/>
      <c r="BV384" s="65"/>
      <c r="BW384" s="66">
        <v>50.6</v>
      </c>
      <c r="BX384" s="66">
        <v>1303</v>
      </c>
      <c r="BY384" s="159">
        <f t="shared" si="515"/>
        <v>42</v>
      </c>
      <c r="BZ384" s="159">
        <f t="shared" si="516"/>
        <v>17.761904761904763</v>
      </c>
      <c r="CA384" s="66">
        <v>791</v>
      </c>
      <c r="CB384" s="72">
        <f t="shared" si="482"/>
        <v>67845.096875000003</v>
      </c>
      <c r="CC384" s="208">
        <f t="shared" si="517"/>
        <v>674.609375</v>
      </c>
      <c r="CD384" s="208">
        <f t="shared" si="518"/>
        <v>28.108723958333332</v>
      </c>
      <c r="CE384" s="985">
        <f t="shared" si="520"/>
        <v>656.52592742651632</v>
      </c>
      <c r="CF384" s="66"/>
      <c r="CG384" s="180">
        <f>CC384/(AVERAGE(BY384)*AVERAGE((D$351,D$345,D$364,D$379,D$372,D$374,D$375,D$358,D$360,D$353))*0.01)</f>
        <v>474.08878324056889</v>
      </c>
      <c r="CH384" s="433">
        <f t="shared" si="427"/>
        <v>0.90430211126005366</v>
      </c>
      <c r="CI384" s="66"/>
      <c r="CJ384" s="66"/>
      <c r="CK384" s="66"/>
      <c r="CL384" s="66"/>
      <c r="CM384" s="66"/>
      <c r="CN384" s="110"/>
    </row>
    <row r="385" spans="1:92" ht="15">
      <c r="A385" s="378">
        <f t="shared" si="412"/>
        <v>41540</v>
      </c>
      <c r="B385" s="663">
        <v>0.33333333333333398</v>
      </c>
      <c r="C385" s="304">
        <f t="shared" si="508"/>
        <v>24</v>
      </c>
      <c r="D385" s="65"/>
      <c r="E385" s="66"/>
      <c r="F385" s="66"/>
      <c r="G385" s="66"/>
      <c r="H385" s="66"/>
      <c r="I385" s="66"/>
      <c r="J385" s="86"/>
      <c r="K385" s="86"/>
      <c r="L385" s="63"/>
      <c r="M385" s="86">
        <v>55</v>
      </c>
      <c r="N385" s="66">
        <v>85</v>
      </c>
      <c r="O385" s="261"/>
      <c r="P385" s="65">
        <v>1050</v>
      </c>
      <c r="Q385" s="210">
        <f t="shared" ref="Q385" si="526">P385/((N385-M385)*N$4)</f>
        <v>6.9665605095541405</v>
      </c>
      <c r="R385" s="225">
        <f t="shared" ref="R385" si="527">10*Q385/(AVERAGE(D$261,D$262))</f>
        <v>23.144719300844322</v>
      </c>
      <c r="S385" s="86"/>
      <c r="T385" s="86"/>
      <c r="U385" s="86"/>
      <c r="V385" s="65"/>
      <c r="W385" s="66"/>
      <c r="X385" s="66"/>
      <c r="Y385" s="66"/>
      <c r="Z385" s="66"/>
      <c r="AA385" s="86"/>
      <c r="AB385" s="86"/>
      <c r="AC385" s="63"/>
      <c r="AD385" s="87"/>
      <c r="AE385" s="87"/>
      <c r="AF385" s="87"/>
      <c r="AG385" s="66"/>
      <c r="AH385" s="66"/>
      <c r="AI385" s="64"/>
      <c r="AJ385" s="63"/>
      <c r="AK385" s="65"/>
      <c r="AL385" s="66">
        <v>35.200000000000003</v>
      </c>
      <c r="AM385" s="72">
        <v>2140</v>
      </c>
      <c r="AN385" s="208">
        <f t="shared" si="511"/>
        <v>62.64</v>
      </c>
      <c r="AO385" s="208">
        <f t="shared" si="512"/>
        <v>22.557471264367816</v>
      </c>
      <c r="AP385" s="72">
        <v>1269</v>
      </c>
      <c r="AQ385" s="490">
        <f t="shared" si="491"/>
        <v>76399.143750000003</v>
      </c>
      <c r="AR385" s="76">
        <f t="shared" si="513"/>
        <v>965.55000000000291</v>
      </c>
      <c r="AS385" s="230">
        <f t="shared" si="514"/>
        <v>40.231250000000124</v>
      </c>
      <c r="AT385" s="208">
        <f t="shared" si="523"/>
        <v>615.04428227320216</v>
      </c>
      <c r="AU385" s="66"/>
      <c r="AV385" s="230">
        <f t="shared" si="519"/>
        <v>454.96670692595592</v>
      </c>
      <c r="AW385" s="855">
        <f t="shared" si="459"/>
        <v>0.68333333333333535</v>
      </c>
      <c r="AX385" s="66"/>
      <c r="AY385" s="66"/>
      <c r="AZ385" s="66"/>
      <c r="BA385" s="66"/>
      <c r="BB385" s="66"/>
      <c r="BC385" s="63"/>
      <c r="BD385" s="64"/>
      <c r="BE385" s="64"/>
      <c r="BF385" s="86"/>
      <c r="BG385" s="65"/>
      <c r="BH385" s="66"/>
      <c r="BI385" s="66"/>
      <c r="BJ385" s="66"/>
      <c r="BK385" s="66"/>
      <c r="BL385" s="86"/>
      <c r="BM385" s="86"/>
      <c r="BN385" s="63"/>
      <c r="BO385" s="87"/>
      <c r="BP385" s="87"/>
      <c r="BQ385" s="87"/>
      <c r="BR385" s="66"/>
      <c r="BS385" s="64"/>
      <c r="BT385" s="66"/>
      <c r="BU385" s="67"/>
      <c r="BV385" s="65"/>
      <c r="BW385" s="66">
        <v>50.4</v>
      </c>
      <c r="BX385" s="66">
        <v>1320</v>
      </c>
      <c r="BY385" s="159">
        <f t="shared" si="515"/>
        <v>34</v>
      </c>
      <c r="BZ385" s="159">
        <f t="shared" si="516"/>
        <v>21.941176470588236</v>
      </c>
      <c r="CA385" s="66">
        <v>803</v>
      </c>
      <c r="CB385" s="72">
        <f t="shared" si="482"/>
        <v>68581.034375000003</v>
      </c>
      <c r="CC385" s="208">
        <f t="shared" si="517"/>
        <v>735.9375</v>
      </c>
      <c r="CD385" s="208">
        <f t="shared" si="518"/>
        <v>30.6640625</v>
      </c>
      <c r="CE385" s="985">
        <f t="shared" si="520"/>
        <v>772.75300548767007</v>
      </c>
      <c r="CF385" s="66"/>
      <c r="CG385" s="180">
        <f>CC385/(AVERAGE(BY385)*AVERAGE((D$351,D$345,D$364,D$379,D$372,D$374,D$375,D$358,D$360,D$353))*0.01)</f>
        <v>638.87900201402874</v>
      </c>
      <c r="CH385" s="433">
        <f t="shared" si="427"/>
        <v>0.98651139410187672</v>
      </c>
      <c r="CI385" s="66"/>
      <c r="CJ385" s="66"/>
      <c r="CK385" s="66"/>
      <c r="CL385" s="66"/>
      <c r="CM385" s="66"/>
      <c r="CN385" s="110"/>
    </row>
    <row r="386" spans="1:92" s="337" customFormat="1">
      <c r="A386" s="309">
        <f t="shared" si="412"/>
        <v>41541</v>
      </c>
      <c r="B386" s="310">
        <v>0.33333333333333398</v>
      </c>
      <c r="C386" s="311">
        <f t="shared" ref="C386:C399" si="528">((A386-A385)+(B386-B385))*24</f>
        <v>24</v>
      </c>
      <c r="D386" s="318">
        <v>4.0199999999999996</v>
      </c>
      <c r="E386" s="319">
        <v>76.790000000000006</v>
      </c>
      <c r="F386" s="319"/>
      <c r="G386" s="319">
        <v>5.67</v>
      </c>
      <c r="H386" s="319"/>
      <c r="I386" s="319"/>
      <c r="J386" s="317"/>
      <c r="K386" s="317"/>
      <c r="L386" s="320"/>
      <c r="M386" s="317"/>
      <c r="N386" s="319"/>
      <c r="O386" s="316"/>
      <c r="P386" s="318"/>
      <c r="Q386" s="319"/>
      <c r="R386" s="332"/>
      <c r="S386" s="317"/>
      <c r="T386" s="317"/>
      <c r="U386" s="317"/>
      <c r="V386" s="318">
        <v>2.34</v>
      </c>
      <c r="W386" s="319">
        <v>68.010000000000005</v>
      </c>
      <c r="X386" s="319"/>
      <c r="Y386" s="319"/>
      <c r="Z386" s="319"/>
      <c r="AA386" s="317"/>
      <c r="AB386" s="317"/>
      <c r="AC386" s="320"/>
      <c r="AD386" s="1029">
        <f>D379*(100-E379)/(100-W386)</f>
        <v>3.2823507346045648</v>
      </c>
      <c r="AE386" s="753">
        <f>D379-V386</f>
        <v>1.6799999999999997</v>
      </c>
      <c r="AF386" s="864">
        <f>100*(AVERAGE(D$351,D$386,D$364,D$379,D$372,D$374,D$375,D$358,D$360,D$353)-V386)/AVERAGE(D$351,D$386,D$364,D$379,D$372,D$374,D$375,D$358,D$360,D$353)</f>
        <v>32.173913043478265</v>
      </c>
      <c r="AG386" s="864">
        <f>100*(1-((100-AVERAGE(E$351,E$386,E$364,E$379,E$372,E$374,E$375,E$358,E$360,E$353))/(100-W386)))</f>
        <v>19.29352922788371</v>
      </c>
      <c r="AH386" s="753">
        <f>E379-W386</f>
        <v>5.8699999999999903</v>
      </c>
      <c r="AI386" s="847">
        <f>100*(1-((V386*W386)/(AVERAGE(D$351,D$386,D$364,D$379,D$372,D$374,D$375,D$358,D$360,D$353)*AVERAGE(E$351,E$386,E$364,E$379,E$372,E$374,E$375,E$358,E$360,E$353))))</f>
        <v>37.817096143093423</v>
      </c>
      <c r="AJ386" s="847">
        <f>100*100*((AVERAGE(E$351,E$386,E$364,E$379,E$372,E$374,E$375,E$358,E$360,E$353)-W386)/((100-W386)*AVERAGE(E$351,E$386,E$364,E$379,E$372,E$374,E$375,E$358,E$360,E$353)))</f>
        <v>26.008370262171017</v>
      </c>
      <c r="AK386" s="318">
        <v>7.06</v>
      </c>
      <c r="AL386" s="319">
        <v>35.299999999999997</v>
      </c>
      <c r="AM386" s="313">
        <v>2168</v>
      </c>
      <c r="AN386" s="334">
        <f t="shared" ref="AN386:AN392" si="529">(AM386-AM385)*AQ$1/((C385)/24)</f>
        <v>60.480000000000004</v>
      </c>
      <c r="AO386" s="334">
        <f t="shared" ref="AO386:AO392" si="530">AQ$3/AN386</f>
        <v>23.363095238095237</v>
      </c>
      <c r="AP386" s="313">
        <v>1283</v>
      </c>
      <c r="AQ386" s="490">
        <f t="shared" si="491"/>
        <v>77244</v>
      </c>
      <c r="AR386" s="348">
        <f t="shared" ref="AR386:AR392" si="531">(AQ386-AQ385)/(C386/24)</f>
        <v>844.85624999999709</v>
      </c>
      <c r="AS386" s="512">
        <f t="shared" ref="AS386:AS392" si="532">(AQ386-AQ385)/C386</f>
        <v>35.202343749999876</v>
      </c>
      <c r="AT386" s="334">
        <f>AR386/(AVERAGE(AN386)*(AVERAGE(D$351,D$386,D$364,D$379,D$372,D$374,D$375,D$358,D$360,D$353))*AVERAGE(E$351,E$386,E$364,E$379,E$372,E$374,E$375,E$358,E$360,E$353)*0.0001)</f>
        <v>545.82497757289161</v>
      </c>
      <c r="AU386" s="334">
        <f>(AQ386-AQ380)/(AVERAGE(AN380:AN386)*((AVERAGE(D$351,D$386,D$364,D$379,D$372,D$374,D$375,D$358,D$360,D$353)*AVERAGE(E$351,E$386,E$364,E$379,E$372,E$374,E$375,E$358,E$360,E$353))-(V386*W386))*0.0001*(SUM(C380:C386)/24))</f>
        <v>1363.1437108686607</v>
      </c>
      <c r="AV386" s="512">
        <f>AR386/(AVERAGE(AN386)*AVERAGE(D$351,D$386,D$364,D$379,D$372,D$374,D$375,D$358,D$360,D$353)*0.01)</f>
        <v>404.90388486312253</v>
      </c>
      <c r="AW386" s="848">
        <f t="shared" ref="AW386:AW450" si="533">AR386/AQ$3</f>
        <v>0.59791666666666465</v>
      </c>
      <c r="AX386" s="319">
        <v>67.099999999999994</v>
      </c>
      <c r="AY386" s="319">
        <v>32.799999999999997</v>
      </c>
      <c r="AZ386" s="319">
        <v>0</v>
      </c>
      <c r="BA386" s="319">
        <v>19</v>
      </c>
      <c r="BB386" s="319">
        <v>105</v>
      </c>
      <c r="BC386" s="320"/>
      <c r="BD386" s="368"/>
      <c r="BE386" s="368"/>
      <c r="BF386" s="317"/>
      <c r="BG386" s="318">
        <v>2.58</v>
      </c>
      <c r="BH386" s="319">
        <v>58.84</v>
      </c>
      <c r="BI386" s="319"/>
      <c r="BJ386" s="319"/>
      <c r="BK386" s="319"/>
      <c r="BL386" s="317"/>
      <c r="BM386" s="317"/>
      <c r="BN386" s="320"/>
      <c r="BO386" s="859">
        <f>D379*(100-E379)/(100-BH386)</f>
        <v>2.5510787172011664</v>
      </c>
      <c r="BP386" s="753">
        <f>D379-BG386</f>
        <v>1.4399999999999995</v>
      </c>
      <c r="BQ386" s="860">
        <f>100*(AVERAGE(D$351,D$386,D$364,D$379,D$372,D$374,D$375,D$358,D$360,D$353)-BG386)/AVERAGE(D$351,D$386,D$364,D$379,D$372,D$374,D$375,D$358,D$360,D$353)</f>
        <v>25.217391304347828</v>
      </c>
      <c r="BR386" s="861">
        <f>100*(1-((100-AVERAGE(E$351,E$386,E$364,E$379,E$372,E$374,E$375,E$358,E$360,E$353))/(100-BH386)))</f>
        <v>37.274052478134109</v>
      </c>
      <c r="BS386" s="858">
        <f>E379-BH386</f>
        <v>15.039999999999992</v>
      </c>
      <c r="BT386" s="862">
        <f>100*(1-((BG386*BH386)/(AVERAGE(D$351,D$386,D$364,D$379,D$372,D$374,D$375,D$358,D$360,D$353)*AVERAGE(E$351,E$386,E$364,E$379,E$372,E$374,E$375,E$358,E$360,E$353))))</f>
        <v>40.683606593888356</v>
      </c>
      <c r="BU386" s="863">
        <f>100*100*((AVERAGE(E$351,E$386,E$364,E$379,E$372,E$374,E$375,E$358,E$360,E$353)-BH386)/((100-BH386)*AVERAGE(E$351,E$386,E$364,E$379,E$372,E$374,E$375,E$358,E$360,E$353)))</f>
        <v>50.246761314246193</v>
      </c>
      <c r="BV386" s="318">
        <v>7.2</v>
      </c>
      <c r="BW386" s="319">
        <v>50.6</v>
      </c>
      <c r="BX386" s="319">
        <v>1323</v>
      </c>
      <c r="BY386" s="462">
        <f t="shared" ref="BY386:BY392" si="534">(BX386-BX385)*CB$1/((C386)/24)</f>
        <v>6</v>
      </c>
      <c r="BZ386" s="462">
        <f t="shared" ref="BZ386:BZ392" si="535">CB$3/BY386</f>
        <v>124.33333333333333</v>
      </c>
      <c r="CA386" s="319">
        <v>811</v>
      </c>
      <c r="CB386" s="313">
        <f t="shared" ref="CB386:CB405" si="536">((CA386-CA$55)*CB$2)+CB$55</f>
        <v>69071.659375000003</v>
      </c>
      <c r="CC386" s="334">
        <f t="shared" ref="CC386:CC392" si="537">(CB386-CB385)/((C386/24))</f>
        <v>490.625</v>
      </c>
      <c r="CD386" s="334">
        <f t="shared" ref="CD386:CD392" si="538">(CB386-CB385)/(C386)</f>
        <v>20.442708333333332</v>
      </c>
      <c r="CE386" s="984">
        <f>CC386/(AVERAGE(BY385,BY386)*(AVERAGE(D$351,D$386,D$364,D$379,D$372,D$374,D$375,D$358,D$360,D$353))*AVERAGE(E$351,E$386,E$364,E$379,E$372,E$374,E$375,E$358,E$360,E$353)*0.0001)</f>
        <v>958.52191183532557</v>
      </c>
      <c r="CF386" s="441">
        <f>(CB386-CB380)/(AVERAGE(BY380:BY386)*((AVERAGE(D$351,D$386,D$364,D$379,D$372,D$374,D$375,D$358,D$360,D$353)*AVERAGE(E$351,E$386,E$364,E$379,E$372,E$374,E$375,E$358,E$360,E$353))-(BG386*BH386))*0.0001*(SUM(C380:C386)/24))</f>
        <v>1767.0297548902379</v>
      </c>
      <c r="CG386" s="441">
        <f>CC386/(AVERAGE(BY386,BY387)*AVERAGE((D$351,D$386,D$364,D$379,D$372,D$374,D$375,D$358,D$360,D$353))*0.01)</f>
        <v>444.40670289855069</v>
      </c>
      <c r="CH386" s="477">
        <f t="shared" si="427"/>
        <v>0.6576742627345844</v>
      </c>
      <c r="CI386" s="319">
        <v>65.099999999999994</v>
      </c>
      <c r="CJ386" s="319">
        <v>33.9</v>
      </c>
      <c r="CK386" s="319">
        <v>0</v>
      </c>
      <c r="CL386" s="319">
        <v>36</v>
      </c>
      <c r="CM386" s="319">
        <v>180</v>
      </c>
      <c r="CN386" s="442"/>
    </row>
    <row r="387" spans="1:92" s="337" customFormat="1">
      <c r="A387" s="309">
        <f t="shared" si="412"/>
        <v>41542</v>
      </c>
      <c r="B387" s="310">
        <v>0.33333333333333398</v>
      </c>
      <c r="C387" s="311">
        <f t="shared" si="528"/>
        <v>24</v>
      </c>
      <c r="D387" s="318">
        <v>4.8</v>
      </c>
      <c r="E387" s="319">
        <v>74.599999999999994</v>
      </c>
      <c r="F387" s="319">
        <v>45200</v>
      </c>
      <c r="G387" s="319"/>
      <c r="H387" s="319"/>
      <c r="I387" s="319">
        <v>7063</v>
      </c>
      <c r="J387" s="317"/>
      <c r="K387" s="317"/>
      <c r="L387" s="320"/>
      <c r="M387" s="317"/>
      <c r="N387" s="319"/>
      <c r="O387" s="316"/>
      <c r="P387" s="318"/>
      <c r="Q387" s="319"/>
      <c r="R387" s="332"/>
      <c r="S387" s="317"/>
      <c r="T387" s="317"/>
      <c r="U387" s="317"/>
      <c r="V387" s="318">
        <v>2.5</v>
      </c>
      <c r="W387" s="319">
        <v>66</v>
      </c>
      <c r="X387" s="319">
        <v>26100</v>
      </c>
      <c r="Y387" s="319"/>
      <c r="Z387" s="319">
        <v>1828</v>
      </c>
      <c r="AA387" s="317"/>
      <c r="AB387" s="317"/>
      <c r="AC387" s="320"/>
      <c r="AD387" s="1029">
        <f>D386*(100-E386)/(100-W387)</f>
        <v>2.7442411764705872</v>
      </c>
      <c r="AE387" s="753">
        <f>D386-V387</f>
        <v>1.5199999999999996</v>
      </c>
      <c r="AF387" s="864">
        <f>100*(AVERAGE(D$387,D$386,D$364,D$379,D$372,D$374,D$375,D$358,D$360,D$353)-V387)/AVERAGE(D$387,D$386,D$364,D$379,D$372,D$374,D$375,D$358,D$360,D$353)</f>
        <v>30.497636919655271</v>
      </c>
      <c r="AG387" s="864">
        <f>100*(1-((100-AVERAGE(E$387,E$386,E$364,E$379,E$372,E$374,E$375,E$358,E$360,E$353))/(100-W387)))</f>
        <v>24.161764705882362</v>
      </c>
      <c r="AH387" s="753">
        <f>E386-W387</f>
        <v>10.790000000000006</v>
      </c>
      <c r="AI387" s="847">
        <f>100*(1-((V387*W387)/(AVERAGE(D$387,D$386,D$364,D$379,D$372,D$374,D$375,D$358,D$360,D$353)*AVERAGE(E$387,E$386,E$364,E$379,E$372,E$374,E$375,E$358,E$360,E$353))))</f>
        <v>38.190986144273374</v>
      </c>
      <c r="AJ387" s="847">
        <f>100*100*((AVERAGE(E$387,E$386,E$364,E$379,E$372,E$374,E$375,E$358,E$360,E$353)-W387)/((100-W387)*AVERAGE(E$387,E$386,E$364,E$379,E$372,E$374,E$375,E$358,E$360,E$353)))</f>
        <v>32.556443718766239</v>
      </c>
      <c r="AK387" s="318"/>
      <c r="AL387" s="319">
        <v>35.5</v>
      </c>
      <c r="AM387" s="313">
        <v>2193</v>
      </c>
      <c r="AN387" s="334">
        <f t="shared" si="529"/>
        <v>54</v>
      </c>
      <c r="AO387" s="334">
        <f t="shared" si="530"/>
        <v>26.166666666666668</v>
      </c>
      <c r="AP387" s="313">
        <v>1297</v>
      </c>
      <c r="AQ387" s="490">
        <f t="shared" si="491"/>
        <v>78088.856250000012</v>
      </c>
      <c r="AR387" s="348">
        <f t="shared" si="531"/>
        <v>844.85625000001164</v>
      </c>
      <c r="AS387" s="512">
        <f t="shared" si="532"/>
        <v>35.202343750000487</v>
      </c>
      <c r="AT387" s="334">
        <f>AR387/(AVERAGE(AN387)*(AVERAGE(D$387,D$386,D$364,D$379,D$372,D$374,D$375,D$358,D$360,D$353))*AVERAGE(E$387,E$386,E$364,E$379,E$372,E$374,E$375,E$358,E$360,E$353)*0.0001)</f>
        <v>586.08004110379306</v>
      </c>
      <c r="AU387" s="334">
        <f>(AQ387-AQ381)/(AVERAGE(AN381:AN387)*((AVERAGE(D$387,D$386,D$364,D$379,D$372,D$374,D$375,D$358,D$360,D$353)*AVERAGE(E$387,E$386,E$364,E$379,E$372,E$374,E$375,E$358,E$360,E$353))-(V387*W387))*0.0001*(SUM(C381:C387)/24))</f>
        <v>1261.4367537094338</v>
      </c>
      <c r="AV387" s="512">
        <f>AR387/(AVERAGE(AN387)*AVERAGE(D$387,D$386,D$364,D$379,D$372,D$374,D$375,D$358,D$360,D$353)*0.01)</f>
        <v>434.95930250518006</v>
      </c>
      <c r="AW387" s="848">
        <f t="shared" si="533"/>
        <v>0.59791666666667487</v>
      </c>
      <c r="AX387" s="319"/>
      <c r="AY387" s="319"/>
      <c r="AZ387" s="319"/>
      <c r="BA387" s="319"/>
      <c r="BB387" s="319"/>
      <c r="BC387" s="320"/>
      <c r="BD387" s="368"/>
      <c r="BE387" s="368"/>
      <c r="BF387" s="317"/>
      <c r="BG387" s="318">
        <v>2.6</v>
      </c>
      <c r="BH387" s="319">
        <v>63.8</v>
      </c>
      <c r="BI387" s="319">
        <v>24700</v>
      </c>
      <c r="BJ387" s="319"/>
      <c r="BK387" s="319">
        <v>2830</v>
      </c>
      <c r="BL387" s="317"/>
      <c r="BM387" s="317"/>
      <c r="BN387" s="320"/>
      <c r="BO387" s="859">
        <f>D386*(100-E386)/(100-BH387)</f>
        <v>2.5774640883977891</v>
      </c>
      <c r="BP387" s="753">
        <f>D386-BG387</f>
        <v>1.4199999999999995</v>
      </c>
      <c r="BQ387" s="860">
        <f>100*(AVERAGE(D$387,D$386,D$364,D$379,D$372,D$374,D$375,D$358,D$360,D$353)-BG387)/AVERAGE(D$387,D$386,D$364,D$379,D$372,D$374,D$375,D$358,D$360,D$353)</f>
        <v>27.717542396441477</v>
      </c>
      <c r="BR387" s="861">
        <f>100*(1-((100-AVERAGE(E$387,E$386,E$364,E$379,E$372,E$374,E$375,E$358,E$360,E$353))/(100-BH387)))</f>
        <v>28.770718232044214</v>
      </c>
      <c r="BS387" s="858">
        <f>E386-BH387</f>
        <v>12.990000000000009</v>
      </c>
      <c r="BT387" s="862">
        <f>100*(1-((BG387*BH387)/(AVERAGE(D$387,D$386,D$364,D$379,D$372,D$374,D$375,D$358,D$360,D$353)*AVERAGE(E$387,E$386,E$364,E$379,E$372,E$374,E$375,E$358,E$360,E$353))))</f>
        <v>37.861338070376164</v>
      </c>
      <c r="BU387" s="863">
        <f>100*100*((AVERAGE(E$387,E$386,E$364,E$379,E$372,E$374,E$375,E$358,E$360,E$353)-BH387)/((100-BH387)*AVERAGE(E$387,E$386,E$364,E$379,E$372,E$374,E$375,E$358,E$360,E$353)))</f>
        <v>38.766715936191083</v>
      </c>
      <c r="BV387" s="318"/>
      <c r="BW387" s="319">
        <v>50.5</v>
      </c>
      <c r="BX387" s="319">
        <v>1352</v>
      </c>
      <c r="BY387" s="462">
        <f t="shared" si="534"/>
        <v>58</v>
      </c>
      <c r="BZ387" s="462">
        <f t="shared" si="535"/>
        <v>12.862068965517242</v>
      </c>
      <c r="CA387" s="319">
        <v>823</v>
      </c>
      <c r="CB387" s="313">
        <f t="shared" si="536"/>
        <v>69807.596875000003</v>
      </c>
      <c r="CC387" s="334">
        <f t="shared" si="537"/>
        <v>735.9375</v>
      </c>
      <c r="CD387" s="334">
        <f t="shared" si="538"/>
        <v>30.6640625</v>
      </c>
      <c r="CE387" s="984">
        <f>CC387/(AVERAGE(BY386,BY387)*(AVERAGE(D$387,D$386,D$364,D$379,D$372,D$374,D$375,D$358,D$360,D$353))*AVERAGE(E$387,E$386,E$364,E$379,E$372,E$374,E$375,E$358,E$360,E$353)*0.0001)</f>
        <v>861.50702906153049</v>
      </c>
      <c r="CF387" s="441">
        <f>(CB387-CB381)/(AVERAGE(BY381:BY387)*((AVERAGE(D$387,D$386,D$364,D$379,D$372,D$374,D$375,D$358,D$360,D$353)*AVERAGE(E$387,E$386,E$364,E$379,E$372,E$374,E$375,E$358,E$360,E$353))-(BG387*BH387))*0.0001*(SUM(C381:C387)/24))</f>
        <v>1516.951192551044</v>
      </c>
      <c r="CG387" s="441">
        <f>CC387/(AVERAGE(BY387,BY386)*AVERAGE((D$387,D$386,D$364,D$379,D$372,D$374,D$375,D$358,D$360,D$353))*0.01)</f>
        <v>639.36744161801494</v>
      </c>
      <c r="CH387" s="477">
        <f t="shared" si="427"/>
        <v>0.98651139410187672</v>
      </c>
      <c r="CI387" s="319"/>
      <c r="CJ387" s="319"/>
      <c r="CK387" s="319"/>
      <c r="CL387" s="319"/>
      <c r="CM387" s="319"/>
      <c r="CN387" s="442"/>
    </row>
    <row r="388" spans="1:92" s="337" customFormat="1" ht="15">
      <c r="A388" s="309">
        <f t="shared" si="412"/>
        <v>41543</v>
      </c>
      <c r="B388" s="310">
        <v>0.33333333333333398</v>
      </c>
      <c r="C388" s="311">
        <f t="shared" si="528"/>
        <v>24</v>
      </c>
      <c r="D388" s="318">
        <v>4.4000000000000004</v>
      </c>
      <c r="E388" s="319">
        <v>75.2</v>
      </c>
      <c r="F388" s="319">
        <v>44400</v>
      </c>
      <c r="G388" s="319"/>
      <c r="H388" s="319">
        <v>50.1</v>
      </c>
      <c r="I388" s="319">
        <v>7857</v>
      </c>
      <c r="J388" s="317">
        <v>3502</v>
      </c>
      <c r="K388" s="317">
        <v>31.8</v>
      </c>
      <c r="L388" s="320">
        <v>190</v>
      </c>
      <c r="M388" s="317">
        <v>40</v>
      </c>
      <c r="N388" s="319">
        <v>90</v>
      </c>
      <c r="O388" s="316"/>
      <c r="P388" s="318">
        <v>1750</v>
      </c>
      <c r="Q388" s="764">
        <f t="shared" ref="Q388" si="539">P388/((N388-M388)*N$4)</f>
        <v>6.9665605095541405</v>
      </c>
      <c r="R388" s="765">
        <f t="shared" ref="R388" si="540">10*Q388/(AVERAGE(D$261,D$262))</f>
        <v>23.144719300844322</v>
      </c>
      <c r="S388" s="317"/>
      <c r="T388" s="317"/>
      <c r="U388" s="317"/>
      <c r="V388" s="318">
        <v>2.6</v>
      </c>
      <c r="W388" s="319">
        <v>65.400000000000006</v>
      </c>
      <c r="X388" s="319">
        <v>24300</v>
      </c>
      <c r="Y388" s="319">
        <v>40.200000000000003</v>
      </c>
      <c r="Z388" s="319">
        <v>2104</v>
      </c>
      <c r="AA388" s="317">
        <v>630</v>
      </c>
      <c r="AB388" s="317">
        <v>71.900000000000006</v>
      </c>
      <c r="AC388" s="320">
        <v>126</v>
      </c>
      <c r="AD388" s="1029">
        <f>D387*(100-E387)/(100-W388)</f>
        <v>3.5236994219653188</v>
      </c>
      <c r="AE388" s="753">
        <f>D387-V388</f>
        <v>2.1999999999999997</v>
      </c>
      <c r="AF388" s="864">
        <f>100*(AVERAGE(D$387,D$386,D$364,D$379,D$372,D$374,D$375,D$358,D$360,D$388)-V388)/AVERAGE(D$387,D$386,D$364,D$379,D$372,D$374,D$375,D$358,D$360,D$388)</f>
        <v>29.862422444024812</v>
      </c>
      <c r="AG388" s="864">
        <f>100*(1-((100-AVERAGE(E$387,E$386,E$364,E$379,E$372,E$374,E$375,E$358,E$360,E$388))/(100-W388)))</f>
        <v>25.765895953757212</v>
      </c>
      <c r="AH388" s="753">
        <f>E387-W388</f>
        <v>9.1999999999999886</v>
      </c>
      <c r="AI388" s="847">
        <f>100*(1-((V388*W388)/(AVERAGE(D$387,D$386,D$364,D$379,D$372,D$374,D$375,D$358,D$360,D$388)*AVERAGE(E$387,E$386,E$364,E$379,E$372,E$374,E$375,E$358,E$360,E$388))))</f>
        <v>38.276289145384148</v>
      </c>
      <c r="AJ388" s="847">
        <f>100*100*((AVERAGE(E$387,E$386,E$364,E$379,E$372,E$374,E$375,E$358,E$360,E$388)-W388)/((100-W388)*AVERAGE(E$387,E$386,E$364,E$379,E$372,E$374,E$375,E$358,E$360,E$388)))</f>
        <v>34.671191487259918</v>
      </c>
      <c r="AK388" s="318"/>
      <c r="AL388" s="319">
        <v>35.299999999999997</v>
      </c>
      <c r="AM388" s="313">
        <v>2221</v>
      </c>
      <c r="AN388" s="334">
        <f t="shared" si="529"/>
        <v>60.480000000000004</v>
      </c>
      <c r="AO388" s="334">
        <f t="shared" si="530"/>
        <v>23.363095238095237</v>
      </c>
      <c r="AP388" s="313">
        <v>1312</v>
      </c>
      <c r="AQ388" s="490">
        <f t="shared" si="491"/>
        <v>78994.059375000012</v>
      </c>
      <c r="AR388" s="348">
        <f t="shared" si="531"/>
        <v>905.203125</v>
      </c>
      <c r="AS388" s="512">
        <f t="shared" si="532"/>
        <v>37.716796875</v>
      </c>
      <c r="AT388" s="334">
        <f>AR388/(AVERAGE(AN388)*(AVERAGE(D$387,D$386,D$364,D$379,D$372,D$374,D$375,D$358,D$360,D$388))*AVERAGE(E$387,E$386,E$364,E$379,E$372,E$374,E$375,E$358,E$360,E$388)*0.0001)</f>
        <v>543.294356667427</v>
      </c>
      <c r="AU388" s="334">
        <f>(AQ388-AQ382)/(AVERAGE(AN382:AN388)*((AVERAGE(D$387,D$386,D$364,D$379,D$372,D$374,D$375,D$358,D$360,D$388)*AVERAGE(E$387,E$386,E$364,E$379,E$372,E$374,E$375,E$358,E$360,E$388))-(V388*W388))*0.0001*(SUM(C382:C388)/24))</f>
        <v>1152.554303104776</v>
      </c>
      <c r="AV388" s="512">
        <f>AR388/(AVERAGE(AN388)*AVERAGE(D$387,D$386,D$364,D$379,D$372,D$374,D$375,D$358,D$360,D$388)*0.01)</f>
        <v>403.74920115739843</v>
      </c>
      <c r="AW388" s="848">
        <f t="shared" si="533"/>
        <v>0.640625</v>
      </c>
      <c r="AX388" s="319"/>
      <c r="AY388" s="319"/>
      <c r="AZ388" s="319"/>
      <c r="BA388" s="319"/>
      <c r="BB388" s="319"/>
      <c r="BC388" s="320"/>
      <c r="BD388" s="368"/>
      <c r="BE388" s="368"/>
      <c r="BF388" s="317"/>
      <c r="BG388" s="318">
        <v>2.8</v>
      </c>
      <c r="BH388" s="319">
        <v>62.8</v>
      </c>
      <c r="BI388" s="319">
        <v>27400</v>
      </c>
      <c r="BJ388" s="319">
        <v>37.5</v>
      </c>
      <c r="BK388" s="319">
        <v>3218</v>
      </c>
      <c r="BL388" s="317">
        <v>658</v>
      </c>
      <c r="BM388" s="317">
        <v>69.7</v>
      </c>
      <c r="BN388" s="320">
        <v>113</v>
      </c>
      <c r="BO388" s="859">
        <f>D387*(100-E387)/(100-BH388)</f>
        <v>3.2774193548387101</v>
      </c>
      <c r="BP388" s="753">
        <f>D387-BG388</f>
        <v>2</v>
      </c>
      <c r="BQ388" s="860">
        <f>100*(AVERAGE(D$387,D$386,D$364,D$379,D$372,D$374,D$375,D$358,D$360,D$388)-BG388)/AVERAGE(D$387,D$386,D$364,D$379,D$372,D$374,D$375,D$358,D$360,D$388)</f>
        <v>24.467224170488269</v>
      </c>
      <c r="BR388" s="861">
        <f>100*(1-((100-AVERAGE(E$387,E$386,E$364,E$379,E$372,E$374,E$375,E$358,E$360,E$388))/(100-BH388)))</f>
        <v>30.95430107526882</v>
      </c>
      <c r="BS388" s="858">
        <f>E387-BH388</f>
        <v>11.799999999999997</v>
      </c>
      <c r="BT388" s="862">
        <f>100*(1-((BG388*BH388)/(AVERAGE(D$387,D$386,D$364,D$379,D$372,D$374,D$375,D$358,D$360,D$388)*AVERAGE(E$387,E$386,E$364,E$379,E$372,E$374,E$375,E$358,E$360,E$388))))</f>
        <v>36.170916745026759</v>
      </c>
      <c r="BU388" s="863">
        <f>100*100*((AVERAGE(E$387,E$386,E$364,E$379,E$372,E$374,E$375,E$358,E$360,E$388)-BH388)/((100-BH388)*AVERAGE(E$387,E$386,E$364,E$379,E$372,E$374,E$375,E$358,E$360,E$388)))</f>
        <v>41.652830620021291</v>
      </c>
      <c r="BV388" s="318"/>
      <c r="BW388" s="319">
        <v>50.6</v>
      </c>
      <c r="BX388" s="319">
        <v>1368</v>
      </c>
      <c r="BY388" s="462">
        <f t="shared" si="534"/>
        <v>32</v>
      </c>
      <c r="BZ388" s="462">
        <f t="shared" si="535"/>
        <v>23.3125</v>
      </c>
      <c r="CA388" s="319">
        <v>834</v>
      </c>
      <c r="CB388" s="313">
        <f t="shared" si="536"/>
        <v>70482.206250000003</v>
      </c>
      <c r="CC388" s="334">
        <f t="shared" si="537"/>
        <v>674.609375</v>
      </c>
      <c r="CD388" s="334">
        <f t="shared" si="538"/>
        <v>28.108723958333332</v>
      </c>
      <c r="CE388" s="984">
        <f>CC388/(AVERAGE(BY387,BY388)*(AVERAGE(D$387,D$386,D$364,D$379,D$372,D$374,D$375,D$358,D$360,D$388))*AVERAGE(E$387,E$386,E$364,E$379,E$372,E$374,E$375,E$358,E$360,E$388)*0.0001)</f>
        <v>544.17776212542299</v>
      </c>
      <c r="CF388" s="441">
        <f>(CB388-CB382)/(AVERAGE(BY382:BY388)*((AVERAGE(D$387,D$386,D$364,D$379,D$372,D$374,D$375,D$358,D$360,D$388)*AVERAGE(E$387,E$386,E$364,E$379,E$372,E$374,E$375,E$358,E$360,E$388))-(BG388*BH388))*0.0001*(SUM(C382:C388)/24))</f>
        <v>1770.1334966844672</v>
      </c>
      <c r="CG388" s="441">
        <f>CC388/(AVERAGE(BY388)*AVERAGE((D$387,D$386,D$364,D$379,D$372,D$374,D$375,D$358,D$360,D$388))*0.01)</f>
        <v>568.69552114243322</v>
      </c>
      <c r="CH388" s="477">
        <f t="shared" si="427"/>
        <v>0.90430211126005366</v>
      </c>
      <c r="CI388" s="319"/>
      <c r="CJ388" s="319"/>
      <c r="CK388" s="319"/>
      <c r="CL388" s="319"/>
      <c r="CM388" s="319"/>
      <c r="CN388" s="442"/>
    </row>
    <row r="389" spans="1:92">
      <c r="A389" s="378">
        <f t="shared" si="412"/>
        <v>41544</v>
      </c>
      <c r="B389" s="663">
        <v>0.33333333333333398</v>
      </c>
      <c r="C389" s="304">
        <f t="shared" si="528"/>
        <v>24</v>
      </c>
      <c r="D389" s="65"/>
      <c r="E389" s="66"/>
      <c r="F389" s="66"/>
      <c r="G389" s="66"/>
      <c r="H389" s="66"/>
      <c r="I389" s="66"/>
      <c r="J389" s="86"/>
      <c r="K389" s="86"/>
      <c r="L389" s="63"/>
      <c r="M389" s="86"/>
      <c r="N389" s="66"/>
      <c r="O389" s="261"/>
      <c r="P389" s="65"/>
      <c r="Q389" s="66"/>
      <c r="R389" s="67"/>
      <c r="S389" s="86"/>
      <c r="T389" s="86"/>
      <c r="U389" s="86"/>
      <c r="V389" s="65"/>
      <c r="W389" s="66"/>
      <c r="X389" s="66"/>
      <c r="Y389" s="66"/>
      <c r="Z389" s="66"/>
      <c r="AA389" s="86"/>
      <c r="AB389" s="86"/>
      <c r="AC389" s="63"/>
      <c r="AD389" s="87"/>
      <c r="AE389" s="87"/>
      <c r="AF389" s="87"/>
      <c r="AG389" s="66"/>
      <c r="AH389" s="66"/>
      <c r="AI389" s="64"/>
      <c r="AJ389" s="63"/>
      <c r="AK389" s="65"/>
      <c r="AL389" s="66">
        <v>35.1</v>
      </c>
      <c r="AM389" s="72">
        <v>2250</v>
      </c>
      <c r="AN389" s="208">
        <f t="shared" si="529"/>
        <v>62.64</v>
      </c>
      <c r="AO389" s="208">
        <f t="shared" si="530"/>
        <v>22.557471264367816</v>
      </c>
      <c r="AP389" s="72">
        <v>1325</v>
      </c>
      <c r="AQ389" s="490">
        <f t="shared" si="491"/>
        <v>79778.568750000006</v>
      </c>
      <c r="AR389" s="76">
        <f t="shared" si="531"/>
        <v>784.50937499999418</v>
      </c>
      <c r="AS389" s="230">
        <f t="shared" si="532"/>
        <v>32.68789062499976</v>
      </c>
      <c r="AT389" s="208">
        <f t="shared" ref="AT389:AT392" si="541">AR389/(AVERAGE(AN389)*(AVERAGE(D$387,D$386,D$364,D$379,D$372,D$374,D$375,D$358,D$360,D$388))*AVERAGE(E$387,E$386,E$364,E$379,E$372,E$374,E$375,E$358,E$360,E$388)*0.0001)</f>
        <v>454.61872603894722</v>
      </c>
      <c r="AU389" s="66"/>
      <c r="AV389" s="230">
        <f t="shared" ref="AV389:AV392" si="542">AR389/(AVERAGE(AN389)*AVERAGE(D$387,D$386,D$364,D$379,D$372,D$374,D$375,D$358,D$360,D$388)*0.01)</f>
        <v>337.84990625584356</v>
      </c>
      <c r="AW389" s="855">
        <f t="shared" si="533"/>
        <v>0.5552083333333292</v>
      </c>
      <c r="AX389" s="66"/>
      <c r="AY389" s="66"/>
      <c r="AZ389" s="66"/>
      <c r="BA389" s="66"/>
      <c r="BB389" s="66"/>
      <c r="BC389" s="63"/>
      <c r="BD389" s="64"/>
      <c r="BE389" s="64"/>
      <c r="BF389" s="86"/>
      <c r="BG389" s="65"/>
      <c r="BH389" s="66"/>
      <c r="BI389" s="66"/>
      <c r="BJ389" s="66"/>
      <c r="BK389" s="66"/>
      <c r="BL389" s="86"/>
      <c r="BM389" s="86"/>
      <c r="BN389" s="63"/>
      <c r="BO389" s="87"/>
      <c r="BP389" s="87"/>
      <c r="BQ389" s="87"/>
      <c r="BR389" s="66"/>
      <c r="BS389" s="64"/>
      <c r="BT389" s="66"/>
      <c r="BU389" s="67"/>
      <c r="BV389" s="65"/>
      <c r="BW389" s="66">
        <v>50.6</v>
      </c>
      <c r="BX389" s="66">
        <v>1382</v>
      </c>
      <c r="BY389" s="159">
        <f t="shared" si="534"/>
        <v>28</v>
      </c>
      <c r="BZ389" s="159">
        <f t="shared" si="535"/>
        <v>26.642857142857142</v>
      </c>
      <c r="CA389" s="66">
        <v>843</v>
      </c>
      <c r="CB389" s="72">
        <f t="shared" si="536"/>
        <v>71034.159375000003</v>
      </c>
      <c r="CC389" s="208">
        <f t="shared" si="537"/>
        <v>551.953125</v>
      </c>
      <c r="CD389" s="208">
        <f t="shared" si="538"/>
        <v>22.998046875</v>
      </c>
      <c r="CE389" s="985">
        <f t="shared" ref="CE389:CE392" si="543">CC389/(AVERAGE(BY388,BY389)*(AVERAGE(D$387,D$386,D$364,D$379,D$372,D$374,D$375,D$358,D$360,D$388))*AVERAGE(E$387,E$386,E$364,E$379,E$372,E$374,E$375,E$358,E$360,E$388)*0.0001)</f>
        <v>667.8545262448373</v>
      </c>
      <c r="CF389" s="66"/>
      <c r="CG389" s="180">
        <f>CC389/(AVERAGE(BY389)*AVERAGE((D$387,D$386,D$364,D$379,D$372,D$374,D$375,D$358,D$360,D$388))*0.01)</f>
        <v>531.76724054876877</v>
      </c>
      <c r="CH389" s="433">
        <f t="shared" si="427"/>
        <v>0.73988354557640745</v>
      </c>
      <c r="CI389" s="66"/>
      <c r="CJ389" s="66"/>
      <c r="CK389" s="66"/>
      <c r="CL389" s="66"/>
      <c r="CM389" s="66"/>
      <c r="CN389" s="110"/>
    </row>
    <row r="390" spans="1:92">
      <c r="A390" s="378">
        <f t="shared" si="412"/>
        <v>41545</v>
      </c>
      <c r="B390" s="663">
        <v>0.33333333333333398</v>
      </c>
      <c r="C390" s="304">
        <f t="shared" si="528"/>
        <v>24</v>
      </c>
      <c r="D390" s="65"/>
      <c r="E390" s="66"/>
      <c r="F390" s="66"/>
      <c r="G390" s="66"/>
      <c r="H390" s="66"/>
      <c r="I390" s="66"/>
      <c r="J390" s="86"/>
      <c r="K390" s="86"/>
      <c r="L390" s="63"/>
      <c r="M390" s="86"/>
      <c r="N390" s="66"/>
      <c r="O390" s="261"/>
      <c r="P390" s="65"/>
      <c r="Q390" s="66"/>
      <c r="R390" s="67"/>
      <c r="S390" s="86"/>
      <c r="T390" s="86"/>
      <c r="U390" s="86"/>
      <c r="V390" s="65"/>
      <c r="W390" s="66"/>
      <c r="X390" s="66"/>
      <c r="Y390" s="66"/>
      <c r="Z390" s="66"/>
      <c r="AA390" s="86"/>
      <c r="AB390" s="86"/>
      <c r="AC390" s="63"/>
      <c r="AD390" s="87"/>
      <c r="AE390" s="87"/>
      <c r="AF390" s="87"/>
      <c r="AG390" s="66"/>
      <c r="AH390" s="66"/>
      <c r="AI390" s="64"/>
      <c r="AJ390" s="63"/>
      <c r="AK390" s="65"/>
      <c r="AL390" s="66">
        <v>35.200000000000003</v>
      </c>
      <c r="AM390" s="72">
        <v>2279</v>
      </c>
      <c r="AN390" s="208">
        <f t="shared" si="529"/>
        <v>62.64</v>
      </c>
      <c r="AO390" s="208">
        <f t="shared" si="530"/>
        <v>22.557471264367816</v>
      </c>
      <c r="AP390" s="72">
        <v>1339</v>
      </c>
      <c r="AQ390" s="490">
        <f t="shared" si="491"/>
        <v>80623.425000000003</v>
      </c>
      <c r="AR390" s="76">
        <f t="shared" si="531"/>
        <v>844.85624999999709</v>
      </c>
      <c r="AS390" s="230">
        <f t="shared" si="532"/>
        <v>35.202343749999876</v>
      </c>
      <c r="AT390" s="208">
        <f t="shared" si="541"/>
        <v>489.58939727271428</v>
      </c>
      <c r="AU390" s="66"/>
      <c r="AV390" s="230">
        <f t="shared" si="542"/>
        <v>363.83836058321759</v>
      </c>
      <c r="AW390" s="855">
        <f t="shared" si="533"/>
        <v>0.59791666666666465</v>
      </c>
      <c r="AX390" s="66"/>
      <c r="AY390" s="66"/>
      <c r="AZ390" s="66"/>
      <c r="BA390" s="66"/>
      <c r="BB390" s="66"/>
      <c r="BC390" s="63"/>
      <c r="BD390" s="64"/>
      <c r="BE390" s="64"/>
      <c r="BF390" s="86"/>
      <c r="BG390" s="65"/>
      <c r="BH390" s="66"/>
      <c r="BI390" s="66"/>
      <c r="BJ390" s="66"/>
      <c r="BK390" s="66"/>
      <c r="BL390" s="86"/>
      <c r="BM390" s="86"/>
      <c r="BN390" s="63"/>
      <c r="BO390" s="87"/>
      <c r="BP390" s="87"/>
      <c r="BQ390" s="87"/>
      <c r="BR390" s="66"/>
      <c r="BS390" s="64"/>
      <c r="BT390" s="66"/>
      <c r="BU390" s="67"/>
      <c r="BV390" s="65"/>
      <c r="BW390" s="66">
        <v>50.6</v>
      </c>
      <c r="BX390" s="66">
        <v>1400</v>
      </c>
      <c r="BY390" s="159">
        <f t="shared" si="534"/>
        <v>36</v>
      </c>
      <c r="BZ390" s="159">
        <f t="shared" si="535"/>
        <v>20.722222222222221</v>
      </c>
      <c r="CA390" s="66">
        <v>853</v>
      </c>
      <c r="CB390" s="72">
        <f t="shared" si="536"/>
        <v>71647.440625000003</v>
      </c>
      <c r="CC390" s="208">
        <f t="shared" si="537"/>
        <v>613.28125</v>
      </c>
      <c r="CD390" s="208">
        <f t="shared" si="538"/>
        <v>25.553385416666668</v>
      </c>
      <c r="CE390" s="985">
        <f t="shared" si="543"/>
        <v>695.68179817170551</v>
      </c>
      <c r="CF390" s="66"/>
      <c r="CG390" s="180">
        <f>CC390/(AVERAGE(BY390)*AVERAGE((D$387,D$386,D$364,D$379,D$372,D$374,D$375,D$358,D$360,D$388))*0.01)</f>
        <v>459.55193627671377</v>
      </c>
      <c r="CH390" s="433">
        <f t="shared" si="427"/>
        <v>0.82209282841823061</v>
      </c>
      <c r="CI390" s="66"/>
      <c r="CJ390" s="66"/>
      <c r="CK390" s="66"/>
      <c r="CL390" s="66"/>
      <c r="CM390" s="66"/>
      <c r="CN390" s="110"/>
    </row>
    <row r="391" spans="1:92" ht="15">
      <c r="A391" s="378">
        <f t="shared" si="412"/>
        <v>41546</v>
      </c>
      <c r="B391" s="663">
        <v>0.33333333333333398</v>
      </c>
      <c r="C391" s="304">
        <f t="shared" si="528"/>
        <v>24</v>
      </c>
      <c r="D391" s="65"/>
      <c r="E391" s="66"/>
      <c r="F391" s="66"/>
      <c r="G391" s="66"/>
      <c r="H391" s="66"/>
      <c r="I391" s="66"/>
      <c r="J391" s="86"/>
      <c r="K391" s="86"/>
      <c r="L391" s="63"/>
      <c r="M391" s="86">
        <v>50</v>
      </c>
      <c r="N391" s="66">
        <v>80</v>
      </c>
      <c r="O391" s="261"/>
      <c r="P391" s="65">
        <v>1050</v>
      </c>
      <c r="Q391" s="210">
        <f t="shared" ref="Q391" si="544">P391/((N391-M391)*N$4)</f>
        <v>6.9665605095541405</v>
      </c>
      <c r="R391" s="225">
        <f t="shared" ref="R391" si="545">10*Q391/(AVERAGE(D$261,D$262))</f>
        <v>23.144719300844322</v>
      </c>
      <c r="S391" s="86"/>
      <c r="T391" s="86"/>
      <c r="U391" s="86"/>
      <c r="V391" s="65"/>
      <c r="W391" s="66"/>
      <c r="X391" s="66"/>
      <c r="Y391" s="66"/>
      <c r="Z391" s="66"/>
      <c r="AA391" s="86"/>
      <c r="AB391" s="86"/>
      <c r="AC391" s="63"/>
      <c r="AD391" s="87"/>
      <c r="AE391" s="87"/>
      <c r="AF391" s="87"/>
      <c r="AG391" s="66"/>
      <c r="AH391" s="66"/>
      <c r="AI391" s="64"/>
      <c r="AJ391" s="63"/>
      <c r="AK391" s="65"/>
      <c r="AL391" s="66">
        <v>35.299999999999997</v>
      </c>
      <c r="AM391" s="72">
        <v>2306</v>
      </c>
      <c r="AN391" s="208">
        <f t="shared" si="529"/>
        <v>58.320000000000007</v>
      </c>
      <c r="AO391" s="208">
        <f t="shared" si="530"/>
        <v>24.228395061728392</v>
      </c>
      <c r="AP391" s="72">
        <v>1353</v>
      </c>
      <c r="AQ391" s="490">
        <f t="shared" si="491"/>
        <v>81468.28125</v>
      </c>
      <c r="AR391" s="76">
        <f t="shared" si="531"/>
        <v>844.85624999999709</v>
      </c>
      <c r="AS391" s="230">
        <f t="shared" si="532"/>
        <v>35.202343749999876</v>
      </c>
      <c r="AT391" s="208">
        <f t="shared" si="541"/>
        <v>525.85527855217458</v>
      </c>
      <c r="AU391" s="66"/>
      <c r="AV391" s="230">
        <f t="shared" si="542"/>
        <v>390.78935025604846</v>
      </c>
      <c r="AW391" s="855">
        <f t="shared" si="533"/>
        <v>0.59791666666666465</v>
      </c>
      <c r="AX391" s="66"/>
      <c r="AY391" s="66"/>
      <c r="AZ391" s="66"/>
      <c r="BA391" s="66"/>
      <c r="BB391" s="66"/>
      <c r="BC391" s="63"/>
      <c r="BD391" s="64"/>
      <c r="BE391" s="64"/>
      <c r="BF391" s="86"/>
      <c r="BG391" s="65"/>
      <c r="BH391" s="66"/>
      <c r="BI391" s="66"/>
      <c r="BJ391" s="66"/>
      <c r="BK391" s="66"/>
      <c r="BL391" s="86"/>
      <c r="BM391" s="86"/>
      <c r="BN391" s="63"/>
      <c r="BO391" s="87"/>
      <c r="BP391" s="87"/>
      <c r="BQ391" s="87"/>
      <c r="BR391" s="66"/>
      <c r="BS391" s="64"/>
      <c r="BT391" s="66"/>
      <c r="BU391" s="67"/>
      <c r="BV391" s="65"/>
      <c r="BW391" s="66">
        <v>50.6</v>
      </c>
      <c r="BX391" s="66">
        <v>1416</v>
      </c>
      <c r="BY391" s="159">
        <f t="shared" si="534"/>
        <v>32</v>
      </c>
      <c r="BZ391" s="159">
        <f t="shared" si="535"/>
        <v>23.3125</v>
      </c>
      <c r="CA391" s="66">
        <v>863</v>
      </c>
      <c r="CB391" s="72">
        <f t="shared" si="536"/>
        <v>72260.721875000003</v>
      </c>
      <c r="CC391" s="208">
        <f t="shared" si="537"/>
        <v>613.28125</v>
      </c>
      <c r="CD391" s="208">
        <f t="shared" si="538"/>
        <v>25.553385416666668</v>
      </c>
      <c r="CE391" s="985">
        <f t="shared" si="543"/>
        <v>654.75933945572285</v>
      </c>
      <c r="CF391" s="66"/>
      <c r="CG391" s="180">
        <f>CC391/(AVERAGE(BY391)*AVERAGE((D$387,D$386,D$364,D$379,D$372,D$374,D$375,D$358,D$360,D$388))*0.01)</f>
        <v>516.99592831130292</v>
      </c>
      <c r="CH391" s="433">
        <f t="shared" si="427"/>
        <v>0.82209282841823061</v>
      </c>
      <c r="CI391" s="66"/>
      <c r="CJ391" s="66"/>
      <c r="CK391" s="66"/>
      <c r="CL391" s="66"/>
      <c r="CM391" s="66"/>
      <c r="CN391" s="110"/>
    </row>
    <row r="392" spans="1:92">
      <c r="A392" s="378">
        <f t="shared" si="412"/>
        <v>41547</v>
      </c>
      <c r="B392" s="663">
        <v>0.33333333333333398</v>
      </c>
      <c r="C392" s="304">
        <f t="shared" si="528"/>
        <v>24</v>
      </c>
      <c r="D392" s="65"/>
      <c r="E392" s="66"/>
      <c r="F392" s="66"/>
      <c r="G392" s="66"/>
      <c r="H392" s="66"/>
      <c r="I392" s="66"/>
      <c r="J392" s="86"/>
      <c r="K392" s="86"/>
      <c r="L392" s="63"/>
      <c r="M392" s="86"/>
      <c r="N392" s="66"/>
      <c r="O392" s="261"/>
      <c r="P392" s="65"/>
      <c r="Q392" s="66"/>
      <c r="R392" s="67"/>
      <c r="S392" s="86"/>
      <c r="T392" s="86"/>
      <c r="U392" s="86"/>
      <c r="V392" s="65"/>
      <c r="W392" s="66"/>
      <c r="X392" s="66"/>
      <c r="Y392" s="66"/>
      <c r="Z392" s="66"/>
      <c r="AA392" s="86"/>
      <c r="AB392" s="86"/>
      <c r="AC392" s="63"/>
      <c r="AD392" s="87"/>
      <c r="AE392" s="87"/>
      <c r="AF392" s="87"/>
      <c r="AG392" s="66"/>
      <c r="AH392" s="66"/>
      <c r="AI392" s="64"/>
      <c r="AJ392" s="63"/>
      <c r="AK392" s="65"/>
      <c r="AL392" s="66">
        <v>35.200000000000003</v>
      </c>
      <c r="AM392" s="72">
        <v>2336</v>
      </c>
      <c r="AN392" s="208">
        <f t="shared" si="529"/>
        <v>64.800000000000011</v>
      </c>
      <c r="AO392" s="208">
        <f t="shared" si="530"/>
        <v>21.80555555555555</v>
      </c>
      <c r="AP392" s="72">
        <v>1371</v>
      </c>
      <c r="AQ392" s="490">
        <f t="shared" si="491"/>
        <v>82554.525000000009</v>
      </c>
      <c r="AR392" s="76">
        <f t="shared" si="531"/>
        <v>1086.2437500000087</v>
      </c>
      <c r="AS392" s="230">
        <f t="shared" si="532"/>
        <v>45.260156250000364</v>
      </c>
      <c r="AT392" s="208">
        <f t="shared" si="541"/>
        <v>608.48967946752316</v>
      </c>
      <c r="AU392" s="66"/>
      <c r="AV392" s="230">
        <f t="shared" si="542"/>
        <v>452.19910529628987</v>
      </c>
      <c r="AW392" s="855">
        <f t="shared" si="533"/>
        <v>0.76875000000000615</v>
      </c>
      <c r="AX392" s="66"/>
      <c r="AY392" s="66"/>
      <c r="AZ392" s="66"/>
      <c r="BA392" s="66"/>
      <c r="BB392" s="66"/>
      <c r="BC392" s="63"/>
      <c r="BD392" s="64"/>
      <c r="BE392" s="64"/>
      <c r="BF392" s="86"/>
      <c r="BG392" s="65"/>
      <c r="BH392" s="66"/>
      <c r="BI392" s="66"/>
      <c r="BJ392" s="66"/>
      <c r="BK392" s="66"/>
      <c r="BL392" s="86"/>
      <c r="BM392" s="86"/>
      <c r="BN392" s="63"/>
      <c r="BO392" s="87"/>
      <c r="BP392" s="87"/>
      <c r="BQ392" s="87"/>
      <c r="BR392" s="66"/>
      <c r="BS392" s="64"/>
      <c r="BT392" s="66"/>
      <c r="BU392" s="67"/>
      <c r="BV392" s="65"/>
      <c r="BW392" s="66">
        <v>50.6</v>
      </c>
      <c r="BX392" s="66">
        <v>1431</v>
      </c>
      <c r="BY392" s="159">
        <f t="shared" si="534"/>
        <v>30</v>
      </c>
      <c r="BZ392" s="159">
        <f t="shared" si="535"/>
        <v>24.866666666666667</v>
      </c>
      <c r="CA392" s="66">
        <v>873</v>
      </c>
      <c r="CB392" s="72">
        <f t="shared" si="536"/>
        <v>72874.003125000003</v>
      </c>
      <c r="CC392" s="208">
        <f t="shared" si="537"/>
        <v>613.28125</v>
      </c>
      <c r="CD392" s="208">
        <f t="shared" si="538"/>
        <v>25.553385416666668</v>
      </c>
      <c r="CE392" s="985">
        <f t="shared" si="543"/>
        <v>718.12314649982488</v>
      </c>
      <c r="CF392" s="66"/>
      <c r="CG392" s="180">
        <f>CC392/(AVERAGE(BY392)*AVERAGE((D$387,D$386,D$364,D$379,D$372,D$374,D$375,D$358,D$360,D$388))*0.01)</f>
        <v>551.46232353205653</v>
      </c>
      <c r="CH392" s="433">
        <f t="shared" si="427"/>
        <v>0.82209282841823061</v>
      </c>
      <c r="CI392" s="66"/>
      <c r="CJ392" s="66"/>
      <c r="CK392" s="66"/>
      <c r="CL392" s="66"/>
      <c r="CM392" s="66"/>
      <c r="CN392" s="110"/>
    </row>
    <row r="393" spans="1:92" s="337" customFormat="1" ht="15">
      <c r="A393" s="309">
        <f t="shared" si="412"/>
        <v>41548</v>
      </c>
      <c r="B393" s="310">
        <v>0.33333333333333398</v>
      </c>
      <c r="C393" s="311">
        <f t="shared" si="528"/>
        <v>24</v>
      </c>
      <c r="D393" s="339">
        <v>3.92</v>
      </c>
      <c r="E393" s="365">
        <v>77.39</v>
      </c>
      <c r="F393" s="319"/>
      <c r="G393" s="319">
        <v>5.6</v>
      </c>
      <c r="H393" s="319"/>
      <c r="I393" s="319"/>
      <c r="J393" s="317"/>
      <c r="K393" s="317"/>
      <c r="L393" s="320"/>
      <c r="M393" s="317">
        <v>50</v>
      </c>
      <c r="N393" s="319">
        <v>90</v>
      </c>
      <c r="O393" s="316"/>
      <c r="P393" s="318">
        <v>1400</v>
      </c>
      <c r="Q393" s="764">
        <f t="shared" ref="Q393" si="546">P393/((N393-M393)*N$4)</f>
        <v>6.9665605095541396</v>
      </c>
      <c r="R393" s="765">
        <f t="shared" ref="R393" si="547">10*Q393/(AVERAGE(D$261,D$262))</f>
        <v>23.144719300844319</v>
      </c>
      <c r="S393" s="317"/>
      <c r="T393" s="317"/>
      <c r="U393" s="317"/>
      <c r="V393" s="339">
        <v>2.4500000000000002</v>
      </c>
      <c r="W393" s="365">
        <v>64.8</v>
      </c>
      <c r="X393" s="319"/>
      <c r="Y393" s="319"/>
      <c r="Z393" s="319"/>
      <c r="AA393" s="317"/>
      <c r="AB393" s="317"/>
      <c r="AC393" s="320"/>
      <c r="AD393" s="1029">
        <f>D388*(100-E388)/(100-W393)</f>
        <v>3.0999999999999996</v>
      </c>
      <c r="AE393" s="753">
        <f>D388-V393</f>
        <v>1.9500000000000002</v>
      </c>
      <c r="AF393" s="864">
        <f>100*(AVERAGE(D$387,D$386,D$364,D$379,D$372,D$374,D$375,D$393,D$360,D$388)-V393)/AVERAGE(D$387,D$386,D$364,D$379,D$372,D$374,D$375,D$393,D$360,D$388)</f>
        <v>34.805747738158587</v>
      </c>
      <c r="AG393" s="864">
        <f>100*(1-((100-AVERAGE(E$387,E$386,E$364,E$379,E$372,E$374,E$375,E$393,E$360,E$388))/(100-W393)))</f>
        <v>26.85227272727272</v>
      </c>
      <c r="AH393" s="753">
        <f>E388-W393</f>
        <v>10.400000000000006</v>
      </c>
      <c r="AI393" s="847">
        <f>100*(1-((V393*W393)/(AVERAGE(D$387,D$386,D$364,D$379,D$372,D$374,D$375,D$393,D$360,D$388)*AVERAGE(E$387,E$386,E$364,E$379,E$372,E$374,E$375,E$393,E$360,E$388))))</f>
        <v>43.104730558539529</v>
      </c>
      <c r="AJ393" s="847">
        <f>100*100*((AVERAGE(E$387,E$386,E$364,E$379,E$372,E$374,E$375,E$393,E$360,E$388)-W393)/((100-W393)*AVERAGE(E$387,E$386,E$364,E$379,E$372,E$374,E$375,E$393,E$360,E$388)))</f>
        <v>36.163702967290746</v>
      </c>
      <c r="AK393" s="318">
        <v>7.14</v>
      </c>
      <c r="AL393" s="319">
        <v>35.299999999999997</v>
      </c>
      <c r="AM393" s="313">
        <v>2363</v>
      </c>
      <c r="AN393" s="334">
        <f t="shared" ref="AN393:AN394" si="548">(AM393-AM392)*AQ$1/((C392)/24)</f>
        <v>58.320000000000007</v>
      </c>
      <c r="AO393" s="334">
        <f t="shared" ref="AO393:AO394" si="549">AQ$3/AN393</f>
        <v>24.228395061728392</v>
      </c>
      <c r="AP393" s="313">
        <v>1389</v>
      </c>
      <c r="AQ393" s="490">
        <f t="shared" si="491"/>
        <v>83640.768750000003</v>
      </c>
      <c r="AR393" s="348">
        <f t="shared" ref="AR393:AR394" si="550">(AQ393-AQ392)/(C393/24)</f>
        <v>1086.2437499999942</v>
      </c>
      <c r="AS393" s="512">
        <f t="shared" ref="AS393:AS394" si="551">(AQ393-AQ392)/C393</f>
        <v>45.26015624999976</v>
      </c>
      <c r="AT393" s="208">
        <f>AR393/(AVERAGE(AN393)*(AVERAGE(D$387,D$386,D$364,D$379,D$372,D$374,D$375,D$393,D$360,D$388))*AVERAGE(E$387,E$386,E$364,E$379,E$372,E$374,E$375,E$393,E$360,E$388)*0.0001)</f>
        <v>667.49012273264327</v>
      </c>
      <c r="AU393" s="334">
        <f>(AQ393-AQ387)/(AVERAGE(AN387:AN393)*((AVERAGE(D$387,D$386,D$364,D$379,D$372,D$374,D$375,D$393,D$360,D$388)*AVERAGE(E$387,E$386,E$364,E$379,E$372,E$374,E$375,E$393,E$360,E$388))-(V393*W393))*0.0001*(SUM(C387:C393)/24))</f>
        <v>1095.8834893468659</v>
      </c>
      <c r="AV393" s="230">
        <f>AR393/(AVERAGE(AN393)*AVERAGE(D$387,D$386,D$364,D$379,D$372,D$374,D$375,D$393,D$360,D$388)*0.01)</f>
        <v>495.62476593144231</v>
      </c>
      <c r="AW393" s="848">
        <f t="shared" si="533"/>
        <v>0.76874999999999583</v>
      </c>
      <c r="AX393" s="319">
        <v>67.400000000000006</v>
      </c>
      <c r="AY393" s="319">
        <v>32.5</v>
      </c>
      <c r="AZ393" s="319">
        <v>0</v>
      </c>
      <c r="BA393" s="319">
        <v>16</v>
      </c>
      <c r="BB393" s="319">
        <v>95</v>
      </c>
      <c r="BC393" s="320"/>
      <c r="BD393" s="368"/>
      <c r="BE393" s="368"/>
      <c r="BF393" s="317"/>
      <c r="BG393" s="339">
        <v>2.65</v>
      </c>
      <c r="BH393" s="365">
        <v>61.13</v>
      </c>
      <c r="BI393" s="319"/>
      <c r="BJ393" s="319"/>
      <c r="BK393" s="319"/>
      <c r="BL393" s="317"/>
      <c r="BM393" s="317"/>
      <c r="BN393" s="320"/>
      <c r="BO393" s="859">
        <f>D388*(100-E388)/(100-BH393)</f>
        <v>2.8073064059686135</v>
      </c>
      <c r="BP393" s="753">
        <f>D388-BG393</f>
        <v>1.7500000000000004</v>
      </c>
      <c r="BQ393" s="860">
        <f>100*(AVERAGE(D$387,D$386,D$364,D$379,D$372,D$374,D$375,D$393,D$360,D$388)-BG393)/AVERAGE(D$387,D$386,D$364,D$379,D$372,D$374,D$375,D$393,D$360,D$388)</f>
        <v>29.48376796168175</v>
      </c>
      <c r="BR393" s="861">
        <f>100*(1-((100-AVERAGE(E$387,E$386,E$364,E$379,E$372,E$374,E$375,E$393,E$360,E$388))/(100-BH393)))</f>
        <v>33.758682788783112</v>
      </c>
      <c r="BS393" s="858">
        <f>E388-BH393</f>
        <v>14.07</v>
      </c>
      <c r="BT393" s="862">
        <f>100*(1-((BG393*BH393)/(AVERAGE(D$387,D$386,D$364,D$379,D$372,D$374,D$375,D$393,D$360,D$388)*AVERAGE(E$387,E$386,E$364,E$379,E$372,E$374,E$375,E$393,E$360,E$388))))</f>
        <v>41.945573661283277</v>
      </c>
      <c r="BU393" s="863">
        <f>100*100*((AVERAGE(E$387,E$386,E$364,E$379,E$372,E$374,E$375,E$393,E$360,E$388)-BH393)/((100-BH393)*AVERAGE(E$387,E$386,E$364,E$379,E$372,E$374,E$375,E$393,E$360,E$388)))</f>
        <v>45.465014799309252</v>
      </c>
      <c r="BV393" s="318">
        <v>7.24</v>
      </c>
      <c r="BW393" s="319">
        <v>50.6</v>
      </c>
      <c r="BX393" s="319">
        <v>1448</v>
      </c>
      <c r="BY393" s="462">
        <f t="shared" ref="BY393:BY394" si="552">(BX393-BX392)*CB$1/((C393)/24)</f>
        <v>34</v>
      </c>
      <c r="BZ393" s="462">
        <f t="shared" ref="BZ393:BZ394" si="553">CB$3/BY393</f>
        <v>21.941176470588236</v>
      </c>
      <c r="CA393" s="319">
        <v>884</v>
      </c>
      <c r="CB393" s="328">
        <f t="shared" si="536"/>
        <v>73548.612500000003</v>
      </c>
      <c r="CC393" s="334">
        <f t="shared" ref="CC393:CC394" si="554">(CB393-CB392)/((C393/24))</f>
        <v>674.609375</v>
      </c>
      <c r="CD393" s="334">
        <f t="shared" ref="CD393:CD394" si="555">(CB393-CB392)/(C393)</f>
        <v>28.108723958333332</v>
      </c>
      <c r="CE393" s="985">
        <f>CC393/(AVERAGE(BY392,BY393)*(AVERAGE(D$387,D$386,D$364,D$379,D$372,D$374,D$375,D$393,D$360,D$388))*AVERAGE(E$387,E$386,E$364,E$379,E$372,E$374,E$375,E$393,E$360,E$388)*0.0001)</f>
        <v>755.5052075137047</v>
      </c>
      <c r="CF393" s="441">
        <f>(CB393-CB387)/(AVERAGE(BY387:BY393)*((AVERAGE(D$387,D$386,D$364,D$379,D$372,D$374,D$375,D$393,D$360,D$388)*AVERAGE(E$387,E$386,E$364,E$379,E$372,E$374,E$375,E$393,E$360,E$388))-(BG393*BH393))*0.0001*(SUM(C387:C393)/24))</f>
        <v>1278.4932614869369</v>
      </c>
      <c r="CG393" s="180">
        <f>CC393/(AVERAGE(BY393)*AVERAGE((D$387,D$386,D$364,D$379,D$372,D$374,D$375,D$393,D$360,D$388))*0.01)</f>
        <v>527.97903687818916</v>
      </c>
      <c r="CH393" s="477">
        <f t="shared" si="427"/>
        <v>0.90430211126005366</v>
      </c>
      <c r="CI393" s="319">
        <v>65.5</v>
      </c>
      <c r="CJ393" s="319">
        <v>33.9</v>
      </c>
      <c r="CK393" s="319">
        <v>0</v>
      </c>
      <c r="CL393" s="319">
        <v>63</v>
      </c>
      <c r="CM393" s="319">
        <v>205</v>
      </c>
      <c r="CN393" s="442"/>
    </row>
    <row r="394" spans="1:92">
      <c r="A394" s="378">
        <f t="shared" si="412"/>
        <v>41549</v>
      </c>
      <c r="B394" s="663">
        <v>0.33333333333333398</v>
      </c>
      <c r="C394" s="304">
        <f t="shared" si="528"/>
        <v>24</v>
      </c>
      <c r="D394" s="65"/>
      <c r="E394" s="66"/>
      <c r="F394" s="66"/>
      <c r="G394" s="66"/>
      <c r="H394" s="66"/>
      <c r="I394" s="66"/>
      <c r="J394" s="86"/>
      <c r="K394" s="86"/>
      <c r="L394" s="63"/>
      <c r="M394" s="86"/>
      <c r="N394" s="66"/>
      <c r="O394" s="261"/>
      <c r="P394" s="65"/>
      <c r="Q394" s="66"/>
      <c r="R394" s="67"/>
      <c r="S394" s="86"/>
      <c r="T394" s="86"/>
      <c r="U394" s="86"/>
      <c r="V394" s="65"/>
      <c r="W394" s="66"/>
      <c r="X394" s="66"/>
      <c r="Y394" s="66"/>
      <c r="Z394" s="66"/>
      <c r="AA394" s="86"/>
      <c r="AB394" s="86"/>
      <c r="AC394" s="63"/>
      <c r="AD394" s="87"/>
      <c r="AE394" s="87"/>
      <c r="AF394" s="87"/>
      <c r="AG394" s="66"/>
      <c r="AH394" s="66"/>
      <c r="AI394" s="64"/>
      <c r="AJ394" s="63"/>
      <c r="AK394" s="65"/>
      <c r="AL394" s="66">
        <v>35.200000000000003</v>
      </c>
      <c r="AM394" s="72">
        <v>2390</v>
      </c>
      <c r="AN394" s="208">
        <f t="shared" si="548"/>
        <v>58.320000000000007</v>
      </c>
      <c r="AO394" s="208">
        <f t="shared" si="549"/>
        <v>24.228395061728392</v>
      </c>
      <c r="AP394" s="72">
        <v>1406</v>
      </c>
      <c r="AQ394" s="490">
        <f t="shared" si="491"/>
        <v>84666.665625000009</v>
      </c>
      <c r="AR394" s="76">
        <f t="shared" si="550"/>
        <v>1025.8968750000058</v>
      </c>
      <c r="AS394" s="230">
        <f t="shared" si="551"/>
        <v>42.74570312500024</v>
      </c>
      <c r="AT394" s="208">
        <f t="shared" ref="AT394" si="556">AR394/(AVERAGE(AN394)*(AVERAGE(D$387,D$386,D$364,D$379,D$372,D$374,D$375,D$393,D$360,D$388))*AVERAGE(E$387,E$386,E$364,E$379,E$372,E$374,E$375,E$393,E$360,E$388)*0.0001)</f>
        <v>630.40733813639224</v>
      </c>
      <c r="AU394" s="66"/>
      <c r="AV394" s="230">
        <f t="shared" ref="AV394" si="557">AR394/(AVERAGE(AN394)*AVERAGE(D$387,D$386,D$364,D$379,D$372,D$374,D$375,D$393,D$360,D$388)*0.01)</f>
        <v>468.09005671303402</v>
      </c>
      <c r="AW394" s="855">
        <f t="shared" si="533"/>
        <v>0.7260416666666708</v>
      </c>
      <c r="AX394" s="66"/>
      <c r="AY394" s="66"/>
      <c r="AZ394" s="66"/>
      <c r="BA394" s="66"/>
      <c r="BB394" s="66"/>
      <c r="BC394" s="63"/>
      <c r="BD394" s="64"/>
      <c r="BE394" s="64"/>
      <c r="BF394" s="86"/>
      <c r="BG394" s="65"/>
      <c r="BH394" s="66"/>
      <c r="BI394" s="66"/>
      <c r="BJ394" s="66"/>
      <c r="BK394" s="66"/>
      <c r="BL394" s="86"/>
      <c r="BM394" s="86"/>
      <c r="BN394" s="63"/>
      <c r="BO394" s="87"/>
      <c r="BP394" s="87"/>
      <c r="BQ394" s="87"/>
      <c r="BR394" s="66"/>
      <c r="BS394" s="64"/>
      <c r="BT394" s="66"/>
      <c r="BU394" s="67"/>
      <c r="BV394" s="65"/>
      <c r="BW394" s="66">
        <v>50.5</v>
      </c>
      <c r="BX394" s="66">
        <v>1463</v>
      </c>
      <c r="BY394" s="159">
        <f t="shared" si="552"/>
        <v>30</v>
      </c>
      <c r="BZ394" s="159">
        <f t="shared" si="553"/>
        <v>24.866666666666667</v>
      </c>
      <c r="CA394" s="66">
        <v>894</v>
      </c>
      <c r="CB394" s="143">
        <f t="shared" si="536"/>
        <v>74161.893750000003</v>
      </c>
      <c r="CC394" s="208">
        <f t="shared" si="554"/>
        <v>613.28125</v>
      </c>
      <c r="CD394" s="208">
        <f t="shared" si="555"/>
        <v>25.553385416666668</v>
      </c>
      <c r="CE394" s="985">
        <f t="shared" ref="CE394" si="558">CC394/(AVERAGE(BY393,BY394)*(AVERAGE(D$387,D$386,D$364,D$379,D$372,D$374,D$375,D$393,D$360,D$388))*AVERAGE(E$387,E$386,E$364,E$379,E$372,E$374,E$375,E$393,E$360,E$388)*0.0001)</f>
        <v>686.82291592154979</v>
      </c>
      <c r="CF394" s="66"/>
      <c r="CG394" s="180">
        <f>CC394/(AVERAGE(BY394)*AVERAGE((D$387,D$386,D$364,D$379,D$372,D$374,D$375,D$393,D$360,D$388))*0.01)</f>
        <v>543.97840163207377</v>
      </c>
      <c r="CH394" s="433">
        <f t="shared" si="427"/>
        <v>0.82209282841823061</v>
      </c>
      <c r="CI394" s="66"/>
      <c r="CJ394" s="66"/>
      <c r="CK394" s="66"/>
      <c r="CL394" s="66"/>
      <c r="CM394" s="66"/>
      <c r="CN394" s="110"/>
    </row>
    <row r="395" spans="1:92" s="337" customFormat="1" ht="15">
      <c r="A395" s="309">
        <f t="shared" si="412"/>
        <v>41550</v>
      </c>
      <c r="B395" s="310">
        <v>0.33333333333333398</v>
      </c>
      <c r="C395" s="311">
        <f t="shared" si="528"/>
        <v>24</v>
      </c>
      <c r="D395" s="318">
        <v>3.5</v>
      </c>
      <c r="E395" s="319">
        <v>74.599999999999994</v>
      </c>
      <c r="F395" s="319">
        <v>40900</v>
      </c>
      <c r="G395" s="319"/>
      <c r="H395" s="319"/>
      <c r="I395" s="319">
        <v>4957</v>
      </c>
      <c r="J395" s="317"/>
      <c r="K395" s="317"/>
      <c r="L395" s="320"/>
      <c r="M395" s="317">
        <v>60</v>
      </c>
      <c r="N395" s="319">
        <v>80</v>
      </c>
      <c r="O395" s="316"/>
      <c r="P395" s="318">
        <v>700</v>
      </c>
      <c r="Q395" s="764">
        <f t="shared" ref="Q395" si="559">P395/((N395-M395)*N$4)</f>
        <v>6.9665605095541396</v>
      </c>
      <c r="R395" s="765">
        <f t="shared" ref="R395" si="560">10*Q395/(AVERAGE(D$261,D$262))</f>
        <v>23.144719300844319</v>
      </c>
      <c r="S395" s="317"/>
      <c r="T395" s="317"/>
      <c r="U395" s="317"/>
      <c r="V395" s="318">
        <v>2.5</v>
      </c>
      <c r="W395" s="319">
        <v>64.7</v>
      </c>
      <c r="X395" s="319">
        <v>23900</v>
      </c>
      <c r="Y395" s="319"/>
      <c r="Z395" s="319">
        <v>1791</v>
      </c>
      <c r="AA395" s="317"/>
      <c r="AB395" s="317"/>
      <c r="AC395" s="320"/>
      <c r="AD395" s="1029">
        <f>D393*(100-E393)/(100-W395)</f>
        <v>2.5107988668555241</v>
      </c>
      <c r="AE395" s="753">
        <f>D393-V395</f>
        <v>1.42</v>
      </c>
      <c r="AF395" s="864">
        <f>100*(AVERAGE(D$387,D$386,D$364,D$379,D$372,D$374,D$375,D$393,D$395,D$388)-V395)/AVERAGE(D$387,D$386,D$364,D$379,D$372,D$374,D$375,D$393,D$395,D$388)</f>
        <v>34.175882043180614</v>
      </c>
      <c r="AG395" s="864">
        <f>100*(1-((100-AVERAGE(E$387,E$386,E$364,E$379,E$372,E$374,E$375,E$393,E$395,E$388))/(100-W395)))</f>
        <v>29.354107648725204</v>
      </c>
      <c r="AH395" s="753">
        <f>E393-W395</f>
        <v>12.689999999999998</v>
      </c>
      <c r="AI395" s="847">
        <f>100*(1-((V395*W395)/(AVERAGE(D$387,D$386,D$364,D$379,D$372,D$374,D$375,D$393,D$395,D$388)*AVERAGE(E$387,E$386,E$364,E$379,E$372,E$374,E$375,E$393,E$395,E$388))))</f>
        <v>43.262630468063549</v>
      </c>
      <c r="AJ395" s="847">
        <f>100*100*((AVERAGE(E$387,E$386,E$364,E$379,E$372,E$374,E$375,E$393,E$395,E$388)-W395)/((100-W395)*AVERAGE(E$387,E$386,E$364,E$379,E$372,E$374,E$375,E$393,E$395,E$388)))</f>
        <v>39.106482173037229</v>
      </c>
      <c r="AK395" s="318"/>
      <c r="AL395" s="319">
        <v>35.4</v>
      </c>
      <c r="AM395" s="313">
        <v>2418</v>
      </c>
      <c r="AN395" s="334">
        <f t="shared" ref="AN395:AN399" si="561">(AM395-AM394)*AQ$1/((C394)/24)</f>
        <v>60.480000000000004</v>
      </c>
      <c r="AO395" s="334">
        <f t="shared" ref="AO395:AO399" si="562">AQ$3/AN395</f>
        <v>23.363095238095237</v>
      </c>
      <c r="AP395" s="313">
        <v>1423</v>
      </c>
      <c r="AQ395" s="490">
        <f t="shared" si="491"/>
        <v>85692.5625</v>
      </c>
      <c r="AR395" s="348">
        <f t="shared" ref="AR395:AR399" si="563">(AQ395-AQ394)/(C395/24)</f>
        <v>1025.8968749999913</v>
      </c>
      <c r="AS395" s="512">
        <f t="shared" ref="AS395:AS399" si="564">(AQ395-AQ394)/C395</f>
        <v>42.745703124999636</v>
      </c>
      <c r="AT395" s="334">
        <f>AR395/(AVERAGE(AN395)*(AVERAGE(D$387,D$386,D$364,D$379,D$372,D$374,D$375,D$393,D$395,D$388))*AVERAGE(E$387,E$386,E$364,E$379,E$372,E$374,E$375,E$393,E$395,E$388)*0.0001)</f>
        <v>594.99981700781507</v>
      </c>
      <c r="AU395" s="334">
        <f>(AQ395-AQ389)/(AVERAGE(AN389:AN395)*((AVERAGE(D$387,D$386,D$364,D$379,D$372,D$374,D$375,D$393,D$395,D$388)*AVERAGE(E$387,E$386,E$364,E$379,E$372,E$374,E$375,E$393,E$395,E$388))-(V395*W395))*0.0001*(SUM(C389:C395)/24))</f>
        <v>1126.8675416783558</v>
      </c>
      <c r="AV395" s="512">
        <f>AR395/(AVERAGE(AN395)*AVERAGE(D$387,D$386,D$364,D$379,D$372,D$374,D$375,D$393,D$395,D$388)*0.01)</f>
        <v>446.61876264240612</v>
      </c>
      <c r="AW395" s="848">
        <f t="shared" si="533"/>
        <v>0.72604166666666048</v>
      </c>
      <c r="AX395" s="319"/>
      <c r="AY395" s="319"/>
      <c r="AZ395" s="319"/>
      <c r="BA395" s="319"/>
      <c r="BB395" s="319"/>
      <c r="BC395" s="320"/>
      <c r="BD395" s="368"/>
      <c r="BE395" s="368"/>
      <c r="BF395" s="317"/>
      <c r="BG395" s="318">
        <v>2.7</v>
      </c>
      <c r="BH395" s="319">
        <v>61.2</v>
      </c>
      <c r="BI395" s="319">
        <v>22900</v>
      </c>
      <c r="BJ395" s="319"/>
      <c r="BK395" s="319">
        <v>3184</v>
      </c>
      <c r="BL395" s="317"/>
      <c r="BM395" s="317"/>
      <c r="BN395" s="320"/>
      <c r="BO395" s="859">
        <f>D393*(100-E393)/(100-BH395)</f>
        <v>2.2843092783505154</v>
      </c>
      <c r="BP395" s="753">
        <f>D393-BG395</f>
        <v>1.2199999999999998</v>
      </c>
      <c r="BQ395" s="860">
        <f>100*(AVERAGE(D$387,D$386,D$364,D$379,D$372,D$374,D$375,D$393,D$395,D$388)-BG395)/AVERAGE(D$387,D$386,D$364,D$379,D$372,D$374,D$375,D$393,D$395,D$388)</f>
        <v>28.909952606635059</v>
      </c>
      <c r="BR395" s="861">
        <f>100*(1-((100-AVERAGE(E$387,E$386,E$364,E$379,E$372,E$374,E$375,E$393,E$395,E$388))/(100-BH395)))</f>
        <v>35.726804123711332</v>
      </c>
      <c r="BS395" s="858">
        <f>E393-BH395</f>
        <v>16.189999999999998</v>
      </c>
      <c r="BT395" s="862">
        <f>100*(1-((BG395*BH395)/(AVERAGE(D$387,D$386,D$364,D$379,D$372,D$374,D$375,D$393,D$395,D$388)*AVERAGE(E$387,E$386,E$364,E$379,E$372,E$374,E$375,E$393,E$395,E$388))))</f>
        <v>42.038436219739225</v>
      </c>
      <c r="BU395" s="863">
        <f>100*100*((AVERAGE(E$387,E$386,E$364,E$379,E$372,E$374,E$375,E$393,E$395,E$388)-BH395)/((100-BH395)*AVERAGE(E$387,E$386,E$364,E$379,E$372,E$374,E$375,E$393,E$395,E$388)))</f>
        <v>47.596392480497897</v>
      </c>
      <c r="BV395" s="318"/>
      <c r="BW395" s="319">
        <v>50.6</v>
      </c>
      <c r="BX395" s="319">
        <v>1480</v>
      </c>
      <c r="BY395" s="462">
        <f t="shared" ref="BY395:BY405" si="565">(BX395-BX394)*CB$1/((C395)/24)</f>
        <v>34</v>
      </c>
      <c r="BZ395" s="462">
        <f t="shared" ref="BZ395:BZ405" si="566">CB$3/BY395</f>
        <v>21.941176470588236</v>
      </c>
      <c r="CA395" s="319">
        <v>904</v>
      </c>
      <c r="CB395" s="328">
        <f t="shared" si="536"/>
        <v>74775.175000000003</v>
      </c>
      <c r="CC395" s="334">
        <f t="shared" ref="CC395:CC399" si="567">(CB395-CB394)/((C395/24))</f>
        <v>613.28125</v>
      </c>
      <c r="CD395" s="334">
        <f t="shared" ref="CD395:CD399" si="568">(CB395-CB394)/(C395)</f>
        <v>25.553385416666668</v>
      </c>
      <c r="CE395" s="984">
        <f>CC395/(AVERAGE(BY394,BY395)*(AVERAGE(D$387,D$386,D$364,D$379,D$372,D$374,D$375,D$393,D$395,D$388))*AVERAGE(E$387,E$386,E$364,E$379,E$372,E$374,E$375,E$393,E$395,E$388)*0.0001)</f>
        <v>672.25589080869202</v>
      </c>
      <c r="CF395" s="441">
        <f>(CB395-CB389)/(AVERAGE(BY389:BY395)*((AVERAGE(D$387,D$386,D$364,D$379,D$372,D$374,D$375,D$393,D$395,D$388)*AVERAGE(E$387,E$386,E$364,E$379,E$372,E$374,E$375,E$393,E$395,E$388))-(BG395*BH395))*0.0001*(SUM(C389:C395)/24))</f>
        <v>1393.5413474937632</v>
      </c>
      <c r="CG395" s="441">
        <f>CC395/(AVERAGE(BY395)*AVERAGE((D$387,D$386,D$364,D$379,D$372,D$374,D$375,D$393,D$395,D$388))*0.01)</f>
        <v>474.92585106712517</v>
      </c>
      <c r="CH395" s="477">
        <f t="shared" si="427"/>
        <v>0.82209282841823061</v>
      </c>
      <c r="CI395" s="319"/>
      <c r="CJ395" s="319"/>
      <c r="CK395" s="319"/>
      <c r="CL395" s="319"/>
      <c r="CM395" s="319"/>
      <c r="CN395" s="442"/>
    </row>
    <row r="396" spans="1:92">
      <c r="A396" s="378">
        <f t="shared" si="412"/>
        <v>41551</v>
      </c>
      <c r="B396" s="663">
        <v>0.33333333333333398</v>
      </c>
      <c r="C396" s="304">
        <f t="shared" si="528"/>
        <v>24</v>
      </c>
      <c r="D396" s="65"/>
      <c r="E396" s="66"/>
      <c r="F396" s="66"/>
      <c r="G396" s="66"/>
      <c r="H396" s="66"/>
      <c r="I396" s="66"/>
      <c r="J396" s="86"/>
      <c r="K396" s="86"/>
      <c r="L396" s="63"/>
      <c r="M396" s="86"/>
      <c r="N396" s="66"/>
      <c r="O396" s="261"/>
      <c r="P396" s="65"/>
      <c r="Q396" s="66"/>
      <c r="R396" s="67"/>
      <c r="S396" s="86"/>
      <c r="T396" s="86"/>
      <c r="U396" s="86"/>
      <c r="V396" s="65"/>
      <c r="W396" s="66"/>
      <c r="X396" s="66"/>
      <c r="Y396" s="66"/>
      <c r="Z396" s="66"/>
      <c r="AA396" s="86"/>
      <c r="AB396" s="86"/>
      <c r="AC396" s="63"/>
      <c r="AD396" s="87"/>
      <c r="AE396" s="87"/>
      <c r="AF396" s="87"/>
      <c r="AG396" s="66"/>
      <c r="AH396" s="66"/>
      <c r="AI396" s="64"/>
      <c r="AJ396" s="63"/>
      <c r="AK396" s="65"/>
      <c r="AL396" s="66">
        <v>35.299999999999997</v>
      </c>
      <c r="AM396" s="72">
        <v>2447</v>
      </c>
      <c r="AN396" s="208">
        <f t="shared" si="561"/>
        <v>62.64</v>
      </c>
      <c r="AO396" s="208">
        <f t="shared" si="562"/>
        <v>22.557471264367816</v>
      </c>
      <c r="AP396" s="72">
        <v>1440</v>
      </c>
      <c r="AQ396" s="490">
        <f t="shared" si="491"/>
        <v>86718.459375000006</v>
      </c>
      <c r="AR396" s="76">
        <f t="shared" si="563"/>
        <v>1025.8968750000058</v>
      </c>
      <c r="AS396" s="230">
        <f t="shared" si="564"/>
        <v>42.74570312500024</v>
      </c>
      <c r="AT396" s="208">
        <f t="shared" ref="AT396:AT398" si="569">AR396/(AVERAGE(AN396)*(AVERAGE(D$387,D$386,D$364,D$379,D$372,D$374,D$375,D$393,D$395,D$388))*AVERAGE(E$387,E$386,E$364,E$379,E$372,E$374,E$375,E$393,E$395,E$388)*0.0001)</f>
        <v>574.48258193858828</v>
      </c>
      <c r="AU396" s="66"/>
      <c r="AV396" s="230">
        <f t="shared" ref="AV396:AV399" si="570">AR396/(AVERAGE(AN396)*AVERAGE(D$387,D$386,D$364,D$379,D$372,D$374,D$375,D$393,D$395,D$388)*0.01)</f>
        <v>431.21811565474314</v>
      </c>
      <c r="AW396" s="855">
        <f t="shared" si="533"/>
        <v>0.7260416666666708</v>
      </c>
      <c r="AX396" s="66"/>
      <c r="AY396" s="66"/>
      <c r="AZ396" s="66"/>
      <c r="BA396" s="66"/>
      <c r="BB396" s="66"/>
      <c r="BC396" s="63"/>
      <c r="BD396" s="64"/>
      <c r="BE396" s="64"/>
      <c r="BF396" s="86"/>
      <c r="BG396" s="65"/>
      <c r="BH396" s="66"/>
      <c r="BI396" s="66"/>
      <c r="BJ396" s="66"/>
      <c r="BK396" s="66"/>
      <c r="BL396" s="86"/>
      <c r="BM396" s="86"/>
      <c r="BN396" s="63"/>
      <c r="BO396" s="87"/>
      <c r="BP396" s="87"/>
      <c r="BQ396" s="87"/>
      <c r="BR396" s="66"/>
      <c r="BS396" s="64"/>
      <c r="BT396" s="66"/>
      <c r="BU396" s="67"/>
      <c r="BV396" s="65"/>
      <c r="BW396" s="66">
        <v>50.6</v>
      </c>
      <c r="BX396" s="66">
        <v>1495</v>
      </c>
      <c r="BY396" s="159">
        <f t="shared" si="565"/>
        <v>30</v>
      </c>
      <c r="BZ396" s="159">
        <f t="shared" si="566"/>
        <v>24.866666666666667</v>
      </c>
      <c r="CA396" s="66">
        <v>915</v>
      </c>
      <c r="CB396" s="143">
        <f t="shared" si="536"/>
        <v>75449.784375000003</v>
      </c>
      <c r="CC396" s="208">
        <f t="shared" si="567"/>
        <v>674.609375</v>
      </c>
      <c r="CD396" s="208">
        <f t="shared" si="568"/>
        <v>28.108723958333332</v>
      </c>
      <c r="CE396" s="985">
        <f t="shared" ref="CE396:CE399" si="571">CC396/(AVERAGE(BY395,BY396)*(AVERAGE(D$387,D$386,D$364,D$379,D$372,D$374,D$375,D$393,D$395,D$388))*AVERAGE(E$387,E$386,E$364,E$379,E$372,E$374,E$375,E$393,E$395,E$388)*0.0001)</f>
        <v>739.48147988956123</v>
      </c>
      <c r="CF396" s="66"/>
      <c r="CG396" s="180">
        <f>CC396/(AVERAGE(BY396)*AVERAGE((D$387,D$386,D$364,D$379,D$372,D$374,D$375,D$393,D$395,D$388))*0.01)</f>
        <v>592.07422766368268</v>
      </c>
      <c r="CH396" s="433">
        <f t="shared" si="427"/>
        <v>0.90430211126005366</v>
      </c>
      <c r="CI396" s="66"/>
      <c r="CJ396" s="66"/>
      <c r="CK396" s="66"/>
      <c r="CL396" s="66"/>
      <c r="CM396" s="66"/>
      <c r="CN396" s="110"/>
    </row>
    <row r="397" spans="1:92" ht="15">
      <c r="A397" s="378">
        <f t="shared" si="412"/>
        <v>41552</v>
      </c>
      <c r="B397" s="663">
        <v>0.33333333333333398</v>
      </c>
      <c r="C397" s="304">
        <f t="shared" si="528"/>
        <v>24</v>
      </c>
      <c r="D397" s="65"/>
      <c r="E397" s="66"/>
      <c r="F397" s="66"/>
      <c r="G397" s="66"/>
      <c r="H397" s="66"/>
      <c r="I397" s="66"/>
      <c r="J397" s="86"/>
      <c r="K397" s="86"/>
      <c r="L397" s="63"/>
      <c r="M397" s="86">
        <v>55</v>
      </c>
      <c r="N397" s="66">
        <v>95</v>
      </c>
      <c r="O397" s="261"/>
      <c r="P397" s="65">
        <v>1400</v>
      </c>
      <c r="Q397" s="210">
        <f t="shared" ref="Q397" si="572">P397/((N397-M397)*N$4)</f>
        <v>6.9665605095541396</v>
      </c>
      <c r="R397" s="225">
        <f t="shared" ref="R397" si="573">10*Q397/(AVERAGE(D$261,D$262))</f>
        <v>23.144719300844319</v>
      </c>
      <c r="S397" s="86"/>
      <c r="T397" s="86"/>
      <c r="U397" s="86"/>
      <c r="V397" s="65"/>
      <c r="W397" s="66"/>
      <c r="X397" s="66"/>
      <c r="Y397" s="66"/>
      <c r="Z397" s="66"/>
      <c r="AA397" s="86"/>
      <c r="AB397" s="86"/>
      <c r="AC397" s="63"/>
      <c r="AD397" s="87"/>
      <c r="AE397" s="87"/>
      <c r="AF397" s="87"/>
      <c r="AG397" s="66"/>
      <c r="AH397" s="66"/>
      <c r="AI397" s="64"/>
      <c r="AJ397" s="63"/>
      <c r="AK397" s="65"/>
      <c r="AL397" s="66">
        <v>35.200000000000003</v>
      </c>
      <c r="AM397" s="72">
        <v>2475</v>
      </c>
      <c r="AN397" s="208">
        <f t="shared" si="561"/>
        <v>60.480000000000004</v>
      </c>
      <c r="AO397" s="208">
        <f t="shared" si="562"/>
        <v>23.363095238095237</v>
      </c>
      <c r="AP397" s="72">
        <v>1457</v>
      </c>
      <c r="AQ397" s="490">
        <f t="shared" si="491"/>
        <v>87744.356250000012</v>
      </c>
      <c r="AR397" s="76">
        <f t="shared" si="563"/>
        <v>1025.8968750000058</v>
      </c>
      <c r="AS397" s="230">
        <f t="shared" si="564"/>
        <v>42.74570312500024</v>
      </c>
      <c r="AT397" s="208">
        <f t="shared" si="569"/>
        <v>594.99981700782359</v>
      </c>
      <c r="AU397" s="66"/>
      <c r="AV397" s="230">
        <f t="shared" si="570"/>
        <v>446.61876264241249</v>
      </c>
      <c r="AW397" s="855">
        <f t="shared" si="533"/>
        <v>0.7260416666666708</v>
      </c>
      <c r="AX397" s="66"/>
      <c r="AY397" s="66"/>
      <c r="AZ397" s="66"/>
      <c r="BA397" s="66"/>
      <c r="BB397" s="66"/>
      <c r="BC397" s="63"/>
      <c r="BD397" s="64"/>
      <c r="BE397" s="64"/>
      <c r="BF397" s="86"/>
      <c r="BG397" s="65"/>
      <c r="BH397" s="66"/>
      <c r="BI397" s="66"/>
      <c r="BJ397" s="66"/>
      <c r="BK397" s="66"/>
      <c r="BL397" s="86"/>
      <c r="BM397" s="86"/>
      <c r="BN397" s="63"/>
      <c r="BO397" s="87"/>
      <c r="BP397" s="87"/>
      <c r="BQ397" s="87"/>
      <c r="BR397" s="66"/>
      <c r="BS397" s="64"/>
      <c r="BT397" s="66"/>
      <c r="BU397" s="67"/>
      <c r="BV397" s="65"/>
      <c r="BW397" s="66">
        <v>50.4</v>
      </c>
      <c r="BX397" s="66">
        <v>1500</v>
      </c>
      <c r="BY397" s="159">
        <f t="shared" si="565"/>
        <v>10</v>
      </c>
      <c r="BZ397" s="159">
        <f t="shared" si="566"/>
        <v>74.599999999999994</v>
      </c>
      <c r="CA397" s="66">
        <v>924</v>
      </c>
      <c r="CB397" s="143">
        <f t="shared" si="536"/>
        <v>76001.737500000003</v>
      </c>
      <c r="CC397" s="208">
        <f t="shared" si="567"/>
        <v>551.953125</v>
      </c>
      <c r="CD397" s="208">
        <f t="shared" si="568"/>
        <v>22.998046875</v>
      </c>
      <c r="CE397" s="985">
        <f t="shared" si="571"/>
        <v>968.04848276451651</v>
      </c>
      <c r="CF397" s="66"/>
      <c r="CG397" s="180">
        <f>CC397/(AVERAGE(BY397,BY398)*AVERAGE((D$387,D$386,D$364,D$379,D$372,D$374,D$375,D$393,D$395,D$388))*0.01)</f>
        <v>807.37394681411274</v>
      </c>
      <c r="CH397" s="433">
        <f t="shared" si="427"/>
        <v>0.73988354557640745</v>
      </c>
      <c r="CI397" s="66"/>
      <c r="CJ397" s="66"/>
      <c r="CK397" s="66"/>
      <c r="CL397" s="66"/>
      <c r="CM397" s="66"/>
      <c r="CN397" s="116" t="s">
        <v>165</v>
      </c>
    </row>
    <row r="398" spans="1:92">
      <c r="A398" s="378">
        <f t="shared" si="412"/>
        <v>41553</v>
      </c>
      <c r="B398" s="663">
        <v>0.33333333333333398</v>
      </c>
      <c r="C398" s="304">
        <f t="shared" si="528"/>
        <v>24</v>
      </c>
      <c r="D398" s="65"/>
      <c r="E398" s="66"/>
      <c r="F398" s="66"/>
      <c r="G398" s="66"/>
      <c r="H398" s="66"/>
      <c r="I398" s="66"/>
      <c r="J398" s="86"/>
      <c r="K398" s="86"/>
      <c r="L398" s="63"/>
      <c r="M398" s="86"/>
      <c r="N398" s="66"/>
      <c r="O398" s="261"/>
      <c r="P398" s="65"/>
      <c r="Q398" s="66"/>
      <c r="R398" s="67"/>
      <c r="S398" s="86"/>
      <c r="T398" s="86"/>
      <c r="U398" s="86"/>
      <c r="V398" s="65"/>
      <c r="W398" s="66"/>
      <c r="X398" s="66"/>
      <c r="Y398" s="66"/>
      <c r="Z398" s="66"/>
      <c r="AA398" s="86"/>
      <c r="AB398" s="86"/>
      <c r="AC398" s="63"/>
      <c r="AD398" s="87"/>
      <c r="AE398" s="87"/>
      <c r="AF398" s="87"/>
      <c r="AG398" s="66"/>
      <c r="AH398" s="66"/>
      <c r="AI398" s="64"/>
      <c r="AJ398" s="63"/>
      <c r="AK398" s="65"/>
      <c r="AL398" s="66">
        <v>35.1</v>
      </c>
      <c r="AM398" s="72">
        <v>2491</v>
      </c>
      <c r="AN398" s="208">
        <f t="shared" si="561"/>
        <v>34.56</v>
      </c>
      <c r="AO398" s="208">
        <f t="shared" si="562"/>
        <v>40.885416666666664</v>
      </c>
      <c r="AP398" s="72">
        <v>1471</v>
      </c>
      <c r="AQ398" s="490">
        <f t="shared" si="491"/>
        <v>88589.212500000009</v>
      </c>
      <c r="AR398" s="76">
        <f t="shared" si="563"/>
        <v>844.85624999999709</v>
      </c>
      <c r="AS398" s="230">
        <f t="shared" si="564"/>
        <v>35.202343749999876</v>
      </c>
      <c r="AT398" s="208">
        <f t="shared" si="569"/>
        <v>857.49973627597308</v>
      </c>
      <c r="AU398" s="66"/>
      <c r="AV398" s="230">
        <f t="shared" si="570"/>
        <v>643.65645204347095</v>
      </c>
      <c r="AW398" s="855">
        <f t="shared" si="533"/>
        <v>0.59791666666666465</v>
      </c>
      <c r="AX398" s="66"/>
      <c r="AY398" s="66"/>
      <c r="AZ398" s="66"/>
      <c r="BA398" s="66"/>
      <c r="BB398" s="66"/>
      <c r="BC398" s="63"/>
      <c r="BD398" s="64"/>
      <c r="BE398" s="64"/>
      <c r="BF398" s="86"/>
      <c r="BG398" s="65"/>
      <c r="BH398" s="66"/>
      <c r="BI398" s="66"/>
      <c r="BJ398" s="66"/>
      <c r="BK398" s="66"/>
      <c r="BL398" s="86"/>
      <c r="BM398" s="86"/>
      <c r="BN398" s="63"/>
      <c r="BO398" s="87"/>
      <c r="BP398" s="87"/>
      <c r="BQ398" s="87"/>
      <c r="BR398" s="66"/>
      <c r="BS398" s="64"/>
      <c r="BT398" s="66"/>
      <c r="BU398" s="67"/>
      <c r="BV398" s="65"/>
      <c r="BW398" s="66">
        <v>50.6</v>
      </c>
      <c r="BX398" s="66">
        <v>1513</v>
      </c>
      <c r="BY398" s="159">
        <f t="shared" si="565"/>
        <v>26</v>
      </c>
      <c r="BZ398" s="159">
        <f t="shared" si="566"/>
        <v>28.692307692307693</v>
      </c>
      <c r="CA398" s="66">
        <v>934</v>
      </c>
      <c r="CB398" s="143">
        <f t="shared" si="536"/>
        <v>76615.018750000003</v>
      </c>
      <c r="CC398" s="208">
        <f t="shared" si="567"/>
        <v>613.28125</v>
      </c>
      <c r="CD398" s="208">
        <f t="shared" si="568"/>
        <v>25.553385416666668</v>
      </c>
      <c r="CE398" s="985">
        <f>CC398/(AVERAGE(BY399,BY398)*(AVERAGE(D$387,D$386,D$364,D$379,D$372,D$374,D$375,D$393,D$395,D$388))*AVERAGE(E$387,E$386,E$364,E$379,E$372,E$374,E$375,E$393,E$395,E$388)*0.0001)</f>
        <v>597.56079182994858</v>
      </c>
      <c r="CF398" s="66"/>
      <c r="CG398" s="180">
        <f>CC398/(AVERAGE(BY398)*AVERAGE((D$387,D$386,D$364,D$379,D$372,D$374,D$375,D$393,D$395,D$388))*0.01)</f>
        <v>621.05688216470207</v>
      </c>
      <c r="CH398" s="433">
        <f t="shared" si="427"/>
        <v>0.82209282841823061</v>
      </c>
      <c r="CI398" s="66"/>
      <c r="CJ398" s="66"/>
      <c r="CK398" s="66"/>
      <c r="CL398" s="66"/>
      <c r="CM398" s="66"/>
      <c r="CN398" s="116" t="s">
        <v>165</v>
      </c>
    </row>
    <row r="399" spans="1:92">
      <c r="A399" s="378">
        <f t="shared" si="412"/>
        <v>41554</v>
      </c>
      <c r="B399" s="663">
        <v>0.33333333333333398</v>
      </c>
      <c r="C399" s="304">
        <f t="shared" si="528"/>
        <v>24</v>
      </c>
      <c r="D399" s="65"/>
      <c r="E399" s="66"/>
      <c r="F399" s="66"/>
      <c r="G399" s="66"/>
      <c r="H399" s="66"/>
      <c r="I399" s="66"/>
      <c r="J399" s="86"/>
      <c r="K399" s="86"/>
      <c r="L399" s="63"/>
      <c r="M399" s="86"/>
      <c r="N399" s="66"/>
      <c r="O399" s="261"/>
      <c r="P399" s="65"/>
      <c r="Q399" s="66"/>
      <c r="R399" s="67"/>
      <c r="S399" s="86"/>
      <c r="T399" s="86"/>
      <c r="U399" s="86"/>
      <c r="V399" s="65"/>
      <c r="W399" s="66"/>
      <c r="X399" s="66"/>
      <c r="Y399" s="66"/>
      <c r="Z399" s="66"/>
      <c r="AA399" s="86"/>
      <c r="AB399" s="86"/>
      <c r="AC399" s="63"/>
      <c r="AD399" s="87"/>
      <c r="AE399" s="87"/>
      <c r="AF399" s="87"/>
      <c r="AG399" s="66"/>
      <c r="AH399" s="66"/>
      <c r="AI399" s="64"/>
      <c r="AJ399" s="63"/>
      <c r="AK399" s="65"/>
      <c r="AL399" s="66">
        <v>35.1</v>
      </c>
      <c r="AM399" s="72">
        <v>2498</v>
      </c>
      <c r="AN399" s="208">
        <f t="shared" si="561"/>
        <v>15.120000000000001</v>
      </c>
      <c r="AO399" s="208">
        <f t="shared" si="562"/>
        <v>93.452380952380949</v>
      </c>
      <c r="AP399" s="72">
        <v>1480</v>
      </c>
      <c r="AQ399" s="490">
        <f t="shared" si="491"/>
        <v>89132.334375000006</v>
      </c>
      <c r="AR399" s="76">
        <f t="shared" si="563"/>
        <v>543.12187499999709</v>
      </c>
      <c r="AS399" s="230">
        <f t="shared" si="564"/>
        <v>22.63007812499988</v>
      </c>
      <c r="AT399" s="208">
        <f>AR399/(AVERAGE(AN399,AN400)*(AVERAGE(D$387,D$386,D$364,D$379,D$372,D$374,D$375,D$393,D$395,D$388))*AVERAGE(E$387,E$386,E$364,E$379,E$372,E$374,E$375,E$393,E$395,E$388)*0.0001)</f>
        <v>551.24983046312445</v>
      </c>
      <c r="AU399" s="66"/>
      <c r="AV399" s="230">
        <f t="shared" si="570"/>
        <v>945.78090912509833</v>
      </c>
      <c r="AW399" s="855">
        <f t="shared" si="533"/>
        <v>0.38437499999999791</v>
      </c>
      <c r="AX399" s="66"/>
      <c r="AY399" s="66"/>
      <c r="AZ399" s="66"/>
      <c r="BA399" s="66"/>
      <c r="BB399" s="66"/>
      <c r="BC399" s="63"/>
      <c r="BD399" s="64"/>
      <c r="BE399" s="64"/>
      <c r="BF399" s="86"/>
      <c r="BG399" s="65"/>
      <c r="BH399" s="66"/>
      <c r="BI399" s="66"/>
      <c r="BJ399" s="66"/>
      <c r="BK399" s="66"/>
      <c r="BL399" s="86"/>
      <c r="BM399" s="86"/>
      <c r="BN399" s="63"/>
      <c r="BO399" s="87"/>
      <c r="BP399" s="87"/>
      <c r="BQ399" s="87"/>
      <c r="BR399" s="66"/>
      <c r="BS399" s="64"/>
      <c r="BT399" s="66"/>
      <c r="BU399" s="67"/>
      <c r="BV399" s="65"/>
      <c r="BW399" s="66">
        <v>50.5</v>
      </c>
      <c r="BX399" s="66">
        <v>1536</v>
      </c>
      <c r="BY399" s="159">
        <f t="shared" si="565"/>
        <v>46</v>
      </c>
      <c r="BZ399" s="159">
        <f t="shared" si="566"/>
        <v>16.217391304347824</v>
      </c>
      <c r="CA399" s="66">
        <v>945</v>
      </c>
      <c r="CB399" s="143">
        <f t="shared" si="536"/>
        <v>77289.628125000003</v>
      </c>
      <c r="CC399" s="208">
        <f t="shared" si="567"/>
        <v>674.609375</v>
      </c>
      <c r="CD399" s="208">
        <f t="shared" si="568"/>
        <v>28.108723958333332</v>
      </c>
      <c r="CE399" s="985">
        <f t="shared" si="571"/>
        <v>657.31687101294347</v>
      </c>
      <c r="CF399" s="66"/>
      <c r="CG399" s="180">
        <f>CC399/(AVERAGE(BY399)*AVERAGE((D$387,D$386,D$364,D$379,D$372,D$374,D$375,D$393,D$395,D$388))*0.01)</f>
        <v>386.13536586761916</v>
      </c>
      <c r="CH399" s="433">
        <f t="shared" si="427"/>
        <v>0.90430211126005366</v>
      </c>
      <c r="CI399" s="66"/>
      <c r="CJ399" s="66"/>
      <c r="CK399" s="66"/>
      <c r="CL399" s="66"/>
      <c r="CM399" s="66"/>
      <c r="CN399" s="116" t="s">
        <v>166</v>
      </c>
    </row>
    <row r="400" spans="1:92" s="337" customFormat="1">
      <c r="A400" s="378">
        <f t="shared" si="412"/>
        <v>41555</v>
      </c>
      <c r="B400" s="663">
        <v>0.33333333333333398</v>
      </c>
      <c r="C400" s="304">
        <f t="shared" ref="C400:C408" si="574">((A400-A399)+(B400-B399))*24</f>
        <v>24</v>
      </c>
      <c r="D400" s="318">
        <v>4.25</v>
      </c>
      <c r="E400" s="319">
        <v>74.739999999999995</v>
      </c>
      <c r="F400" s="319"/>
      <c r="G400" s="319"/>
      <c r="H400" s="319"/>
      <c r="I400" s="319"/>
      <c r="J400" s="317"/>
      <c r="K400" s="317"/>
      <c r="L400" s="320"/>
      <c r="M400" s="317"/>
      <c r="N400" s="319"/>
      <c r="O400" s="316"/>
      <c r="P400" s="318"/>
      <c r="Q400" s="319"/>
      <c r="R400" s="332"/>
      <c r="S400" s="317"/>
      <c r="T400" s="317"/>
      <c r="U400" s="317"/>
      <c r="V400" s="318">
        <v>2.41</v>
      </c>
      <c r="W400" s="319">
        <v>67.319999999999993</v>
      </c>
      <c r="X400" s="319"/>
      <c r="Y400" s="319"/>
      <c r="Z400" s="319"/>
      <c r="AA400" s="317"/>
      <c r="AB400" s="317"/>
      <c r="AC400" s="320"/>
      <c r="AD400" s="1029">
        <f>D395*(100-E395)/(100-W400)</f>
        <v>2.7203182374541006</v>
      </c>
      <c r="AE400" s="753">
        <f>D395-V400</f>
        <v>1.0899999999999999</v>
      </c>
      <c r="AF400" s="864">
        <f>100*(AVERAGE(D$387,D$386,D$400,D$379,D$372,D$374,D$375,D$393,D$395,D$388)-V400)/AVERAGE(D$387,D$386,D$400,D$379,D$372,D$374,D$375,D$393,D$395,D$388)</f>
        <v>39.325276938569985</v>
      </c>
      <c r="AG400" s="864">
        <f>100*(1-((100-AVERAGE(E$387,E$386,E$400,E$379,E$372,E$374,E$375,E$393,E$395,E$388))/(100-W400)))</f>
        <v>24.611383108935147</v>
      </c>
      <c r="AH400" s="753">
        <f>E395-W400</f>
        <v>7.2800000000000011</v>
      </c>
      <c r="AI400" s="847">
        <f>100*(1-((V400*W400)/(AVERAGE(D$387,D$386,D$400,D$379,D$372,D$374,D$375,D$393,D$395,D$388)*AVERAGE(E$387,E$386,E$400,E$379,E$372,E$374,E$375,E$393,E$395,E$388))))</f>
        <v>45.800693224852139</v>
      </c>
      <c r="AJ400" s="847">
        <f>100*100*((AVERAGE(E$387,E$386,E$400,E$379,E$372,E$374,E$375,E$393,E$395,E$388)-W400)/((100-W400)*AVERAGE(E$387,E$386,E$400,E$379,E$372,E$374,E$375,E$393,E$395,E$388)))</f>
        <v>32.657117032144605</v>
      </c>
      <c r="AK400" s="318"/>
      <c r="AL400" s="319">
        <v>35.299999999999997</v>
      </c>
      <c r="AM400" s="313">
        <v>2523</v>
      </c>
      <c r="AN400" s="208">
        <f t="shared" ref="AN400:AN405" si="575">(AM400-AM399)*AQ$1/((C399)/24)</f>
        <v>54</v>
      </c>
      <c r="AO400" s="208">
        <f t="shared" ref="AO400:AO405" si="576">AQ$3/AN400</f>
        <v>26.166666666666668</v>
      </c>
      <c r="AP400" s="313">
        <v>1490</v>
      </c>
      <c r="AQ400" s="490">
        <f t="shared" si="491"/>
        <v>89735.803125000006</v>
      </c>
      <c r="AR400" s="76">
        <f t="shared" ref="AR400:AR405" si="577">(AQ400-AQ399)/(C400/24)</f>
        <v>603.46875</v>
      </c>
      <c r="AS400" s="230">
        <f t="shared" ref="AS400:AS405" si="578">(AQ400-AQ399)/C400</f>
        <v>25.14453125</v>
      </c>
      <c r="AT400" s="208">
        <f>AR400/(AVERAGE(AN400)*(AVERAGE(D$387,D$386,D$400,D$379,D$372,D$374,D$375,D$393,D$395,D$388))*AVERAGE(E$387,E$386,E$400,E$379,E$372,E$374,E$375,E$393,E$395,E$388)*0.0001)</f>
        <v>373.33061664732429</v>
      </c>
      <c r="AU400" s="208">
        <f>(AQ400-AQ394)/(AVERAGE(AN394:AN400)*((AVERAGE(D$387,D$386,D$400,D$379,D$372,D$374,D$375,D$393,D$395,D$388)*AVERAGE(E$387,E$386,E$400,E$379,E$372,E$374,E$375,E$393,E$395,E$388))-(V400*W400))*0.0001*(SUM(C394:C400)/24))</f>
        <v>1069.8450172883702</v>
      </c>
      <c r="AV400" s="230">
        <f>AR400/(AVERAGE(AN400)*AVERAGE(D$387,D$386,D$400,D$379,D$372,D$374,D$375,D$393,D$395,D$388)*0.01)</f>
        <v>281.35315262392299</v>
      </c>
      <c r="AW400" s="855">
        <f t="shared" si="533"/>
        <v>0.42708333333333331</v>
      </c>
      <c r="AX400" s="319">
        <v>67.7</v>
      </c>
      <c r="AY400" s="319">
        <v>32.200000000000003</v>
      </c>
      <c r="AZ400" s="319">
        <v>0</v>
      </c>
      <c r="BA400" s="319">
        <v>22</v>
      </c>
      <c r="BB400" s="319">
        <v>85</v>
      </c>
      <c r="BC400" s="320"/>
      <c r="BD400" s="368"/>
      <c r="BE400" s="368"/>
      <c r="BF400" s="317"/>
      <c r="BG400" s="318">
        <v>2.7</v>
      </c>
      <c r="BH400" s="319">
        <v>58.8</v>
      </c>
      <c r="BI400" s="319"/>
      <c r="BJ400" s="319"/>
      <c r="BK400" s="319"/>
      <c r="BL400" s="317"/>
      <c r="BM400" s="317"/>
      <c r="BN400" s="320"/>
      <c r="BO400" s="859">
        <f>D395*(100-E395)/(100-BH400)</f>
        <v>2.1577669902912624</v>
      </c>
      <c r="BP400" s="753">
        <f>D395-BG400</f>
        <v>0.79999999999999982</v>
      </c>
      <c r="BQ400" s="860">
        <f>100*(AVERAGE(D$387,D$386,D$400,D$379,D$372,D$374,D$375,D$393,D$395,D$388)-BG400)/AVERAGE(D$387,D$386,D$400,D$379,D$372,D$374,D$375,D$393,D$395,D$388)</f>
        <v>32.024169184290024</v>
      </c>
      <c r="BR400" s="861">
        <f>100*(1-((100-AVERAGE(E$387,E$386,E$400,E$379,E$372,E$374,E$375,E$393,E$395,E$388))/(100-BH400)))</f>
        <v>40.201456310679617</v>
      </c>
      <c r="BS400" s="858">
        <f>E395-BH400</f>
        <v>15.799999999999997</v>
      </c>
      <c r="BT400" s="862">
        <f>100*(1-((BG400*BH400)/(AVERAGE(D$387,D$386,D$400,D$379,D$372,D$374,D$375,D$393,D$395,D$388)*AVERAGE(E$387,E$386,E$400,E$379,E$372,E$374,E$375,E$393,E$395,E$388))))</f>
        <v>46.963644600616405</v>
      </c>
      <c r="BU400" s="863">
        <f>100*100*((AVERAGE(E$387,E$386,E$400,E$379,E$372,E$374,E$375,E$393,E$395,E$388)-BH400)/((100-BH400)*AVERAGE(E$387,E$386,E$400,E$379,E$372,E$374,E$375,E$393,E$395,E$388)))</f>
        <v>53.343757959051011</v>
      </c>
      <c r="BV400" s="318"/>
      <c r="BW400" s="319">
        <v>50.7</v>
      </c>
      <c r="BX400" s="319">
        <v>1552</v>
      </c>
      <c r="BY400" s="159">
        <f t="shared" si="565"/>
        <v>32</v>
      </c>
      <c r="BZ400" s="159">
        <f t="shared" si="566"/>
        <v>23.3125</v>
      </c>
      <c r="CA400" s="319">
        <v>957</v>
      </c>
      <c r="CB400" s="328">
        <f t="shared" si="536"/>
        <v>78025.565625000003</v>
      </c>
      <c r="CC400" s="208">
        <f t="shared" ref="CC400:CC405" si="579">(CB400-CB399)/((C400/24))</f>
        <v>735.9375</v>
      </c>
      <c r="CD400" s="208">
        <f t="shared" ref="CD400:CD405" si="580">(CB400-CB399)/(C400)</f>
        <v>30.6640625</v>
      </c>
      <c r="CE400" s="985">
        <f>CC400/(AVERAGE(BY399,BY400)*(AVERAGE(D$387,D$386,D$400,D$379,D$372,D$374,D$375,D$393,D$395,D$388))*AVERAGE(E$387,E$386,E$400,E$379,E$372,E$374,E$375,E$393,E$395,E$388)*0.0001)</f>
        <v>630.38940897296789</v>
      </c>
      <c r="CF400" s="441">
        <f>(CB400-CB394)/(AVERAGE(BY394:BY400)*((AVERAGE(D$387,D$386,D$400,D$379,D$372,D$374,D$375,D$393,D$395,D$388)*AVERAGE(E$387,E$386,E$400,E$379,E$372,E$374,E$375,E$393,E$395,E$388))-(BG400*BH400))*0.0001*(SUM(C394:C400)/24))</f>
        <v>1321.3190324875691</v>
      </c>
      <c r="CG400" s="180">
        <f>CC400/(AVERAGE(BY400)*AVERAGE((D$387,D$386,D$400,D$379,D$372,D$374,D$375,D$393,D$395,D$388))*0.01)</f>
        <v>579.00420128398798</v>
      </c>
      <c r="CH400" s="433">
        <f t="shared" si="427"/>
        <v>0.98651139410187672</v>
      </c>
      <c r="CI400" s="319">
        <v>65.900000000000006</v>
      </c>
      <c r="CJ400" s="319">
        <v>34</v>
      </c>
      <c r="CK400" s="319">
        <v>0</v>
      </c>
      <c r="CL400" s="319">
        <v>17</v>
      </c>
      <c r="CM400" s="319">
        <v>145</v>
      </c>
      <c r="CN400" s="116" t="s">
        <v>166</v>
      </c>
    </row>
    <row r="401" spans="1:92" ht="15">
      <c r="A401" s="378">
        <f t="shared" si="412"/>
        <v>41556</v>
      </c>
      <c r="B401" s="663">
        <v>0.33333333333333398</v>
      </c>
      <c r="C401" s="304">
        <f t="shared" si="574"/>
        <v>24</v>
      </c>
      <c r="D401" s="65"/>
      <c r="E401" s="66"/>
      <c r="F401" s="66"/>
      <c r="G401" s="66"/>
      <c r="H401" s="66"/>
      <c r="I401" s="66"/>
      <c r="J401" s="86"/>
      <c r="K401" s="86"/>
      <c r="L401" s="63"/>
      <c r="M401" s="86">
        <v>50</v>
      </c>
      <c r="N401" s="66">
        <v>80</v>
      </c>
      <c r="O401" s="261"/>
      <c r="P401" s="65">
        <v>1050</v>
      </c>
      <c r="Q401" s="210">
        <f t="shared" ref="Q401" si="581">P401/((N401-M401)*N$4)</f>
        <v>6.9665605095541405</v>
      </c>
      <c r="R401" s="225">
        <f t="shared" ref="R401" si="582">10*Q401/(AVERAGE(D$261,D$262))</f>
        <v>23.144719300844322</v>
      </c>
      <c r="S401" s="86"/>
      <c r="T401" s="86"/>
      <c r="U401" s="86"/>
      <c r="V401" s="65"/>
      <c r="W401" s="66"/>
      <c r="X401" s="66"/>
      <c r="Y401" s="66"/>
      <c r="Z401" s="66"/>
      <c r="AA401" s="86"/>
      <c r="AB401" s="86"/>
      <c r="AC401" s="63"/>
      <c r="AD401" s="87"/>
      <c r="AE401" s="87"/>
      <c r="AF401" s="87"/>
      <c r="AG401" s="66"/>
      <c r="AH401" s="66"/>
      <c r="AI401" s="64"/>
      <c r="AJ401" s="63"/>
      <c r="AK401" s="65"/>
      <c r="AL401" s="66">
        <v>35.1</v>
      </c>
      <c r="AM401" s="72">
        <v>2554</v>
      </c>
      <c r="AN401" s="208">
        <f t="shared" si="575"/>
        <v>66.960000000000008</v>
      </c>
      <c r="AO401" s="208">
        <f t="shared" si="576"/>
        <v>21.102150537634405</v>
      </c>
      <c r="AP401" s="72">
        <v>1503</v>
      </c>
      <c r="AQ401" s="490">
        <f t="shared" si="491"/>
        <v>90520.3125</v>
      </c>
      <c r="AR401" s="76">
        <f t="shared" si="577"/>
        <v>784.50937499999418</v>
      </c>
      <c r="AS401" s="230">
        <f t="shared" si="578"/>
        <v>32.68789062499976</v>
      </c>
      <c r="AT401" s="208">
        <f t="shared" ref="AT401" si="583">AR401/(AVERAGE(AN401)*(AVERAGE(D$387,D$386,D$400,D$379,D$372,D$374,D$375,D$393,D$395,D$388))*AVERAGE(E$387,E$386,E$400,E$379,E$372,E$374,E$375,E$393,E$395,E$388)*0.0001)</f>
        <v>391.39500132380476</v>
      </c>
      <c r="AU401" s="66"/>
      <c r="AV401" s="230">
        <f t="shared" ref="AV401" si="584">AR401/(AVERAGE(AN401)*AVERAGE(D$387,D$386,D$400,D$379,D$372,D$374,D$375,D$393,D$395,D$388)*0.01)</f>
        <v>294.96701484765902</v>
      </c>
      <c r="AW401" s="855">
        <f t="shared" si="533"/>
        <v>0.5552083333333292</v>
      </c>
      <c r="AX401" s="66"/>
      <c r="AY401" s="66"/>
      <c r="AZ401" s="66"/>
      <c r="BA401" s="66"/>
      <c r="BB401" s="66"/>
      <c r="BC401" s="63"/>
      <c r="BD401" s="64"/>
      <c r="BE401" s="64"/>
      <c r="BF401" s="86"/>
      <c r="BG401" s="65"/>
      <c r="BH401" s="66"/>
      <c r="BI401" s="66"/>
      <c r="BJ401" s="66"/>
      <c r="BK401" s="66"/>
      <c r="BL401" s="86"/>
      <c r="BM401" s="86"/>
      <c r="BN401" s="63"/>
      <c r="BO401" s="87"/>
      <c r="BP401" s="87"/>
      <c r="BQ401" s="87"/>
      <c r="BR401" s="66"/>
      <c r="BS401" s="64"/>
      <c r="BT401" s="66"/>
      <c r="BU401" s="67"/>
      <c r="BV401" s="65"/>
      <c r="BW401" s="66">
        <v>50.6</v>
      </c>
      <c r="BX401" s="66">
        <v>1565</v>
      </c>
      <c r="BY401" s="159">
        <f t="shared" si="565"/>
        <v>26</v>
      </c>
      <c r="BZ401" s="159">
        <f t="shared" si="566"/>
        <v>28.692307692307693</v>
      </c>
      <c r="CA401" s="66">
        <v>968</v>
      </c>
      <c r="CB401" s="76">
        <f t="shared" si="536"/>
        <v>78700.175000000003</v>
      </c>
      <c r="CC401" s="208">
        <f t="shared" si="579"/>
        <v>674.609375</v>
      </c>
      <c r="CD401" s="208">
        <f t="shared" si="580"/>
        <v>28.108723958333332</v>
      </c>
      <c r="CE401" s="985">
        <f>CC401/(AVERAGE(BY400,BY401)*(AVERAGE(D$387,D$386,D$400,D$379,D$372,D$374,D$375,D$393,D$395,D$388))*AVERAGE(E$387,E$386,E$400,E$379,E$372,E$374,E$375,E$393,E$395,E$388)*0.0001)</f>
        <v>777.11797830288276</v>
      </c>
      <c r="CF401" s="66"/>
      <c r="CG401" s="180">
        <f>CC401/(AVERAGE(BY401)*AVERAGE((D$387,D$386,D$400,D$379,D$372,D$374,D$375,D$393,D$395,D$388))*0.01)</f>
        <v>653.23550914090936</v>
      </c>
      <c r="CH401" s="433">
        <f t="shared" si="427"/>
        <v>0.90430211126005366</v>
      </c>
      <c r="CI401" s="66"/>
      <c r="CJ401" s="66"/>
      <c r="CK401" s="66"/>
      <c r="CL401" s="66"/>
      <c r="CM401" s="66"/>
      <c r="CN401" s="1049"/>
    </row>
    <row r="402" spans="1:92" s="337" customFormat="1">
      <c r="A402" s="309">
        <f t="shared" si="412"/>
        <v>41557</v>
      </c>
      <c r="B402" s="663">
        <v>0.33333333333333398</v>
      </c>
      <c r="C402" s="304">
        <f t="shared" si="574"/>
        <v>24</v>
      </c>
      <c r="D402" s="318">
        <v>4.4000000000000004</v>
      </c>
      <c r="E402" s="319">
        <v>76.5</v>
      </c>
      <c r="F402" s="319">
        <v>53700</v>
      </c>
      <c r="G402" s="319"/>
      <c r="H402" s="319">
        <v>45.1</v>
      </c>
      <c r="I402" s="319">
        <v>5712</v>
      </c>
      <c r="J402" s="317">
        <v>2658</v>
      </c>
      <c r="K402" s="317">
        <v>30.4</v>
      </c>
      <c r="L402" s="320">
        <v>176</v>
      </c>
      <c r="M402" s="317"/>
      <c r="N402" s="319"/>
      <c r="O402" s="316"/>
      <c r="P402" s="318"/>
      <c r="Q402" s="319"/>
      <c r="R402" s="332"/>
      <c r="S402" s="317"/>
      <c r="T402" s="317"/>
      <c r="U402" s="317"/>
      <c r="V402" s="318">
        <v>2.6</v>
      </c>
      <c r="W402" s="319">
        <v>65.5</v>
      </c>
      <c r="X402" s="319">
        <v>24700</v>
      </c>
      <c r="Y402" s="319">
        <v>37.6</v>
      </c>
      <c r="Z402" s="319">
        <v>1901</v>
      </c>
      <c r="AA402" s="317">
        <v>609</v>
      </c>
      <c r="AB402" s="317">
        <v>74.599999999999994</v>
      </c>
      <c r="AC402" s="320">
        <v>119</v>
      </c>
      <c r="AD402" s="1029">
        <f>D400*(100-E400)/(100-W402)</f>
        <v>3.111739130434783</v>
      </c>
      <c r="AE402" s="753">
        <f>D400-V402</f>
        <v>1.65</v>
      </c>
      <c r="AF402" s="864">
        <f>100*(AVERAGE(D$387,D$386,D$400,D$379,D$402,D$374,D$375,D$393,D$395,D$388)-V402)/AVERAGE(D$387,D$386,D$400,D$379,D$402,D$374,D$375,D$393,D$395,D$388)</f>
        <v>35.387673956262425</v>
      </c>
      <c r="AG402" s="864">
        <f>100*(1-((100-AVERAGE(E$387,E$386,E$400,E$379,E$402,E$374,E$375,E$393,E$395,E$388))/(100-W402)))</f>
        <v>29.579710144927574</v>
      </c>
      <c r="AH402" s="753">
        <f>E400-W402</f>
        <v>9.2399999999999949</v>
      </c>
      <c r="AI402" s="847">
        <f>100*(1-((V402*W402)/(AVERAGE(D$387,D$386,D$400,D$379,D$402,D$374,D$375,D$393,D$395,D$388)*AVERAGE(E$387,E$386,E$400,E$379,E$402,E$374,E$375,E$393,E$395,E$388))))</f>
        <v>44.097386488807736</v>
      </c>
      <c r="AJ402" s="847">
        <f>100*100*((AVERAGE(E$387,E$386,E$400,E$379,E$402,E$374,E$375,E$393,E$395,E$388)-W402)/((100-W402)*AVERAGE(E$387,E$386,E$400,E$379,E$402,E$374,E$375,E$393,E$395,E$388)))</f>
        <v>39.072333590816413</v>
      </c>
      <c r="AK402" s="318"/>
      <c r="AL402" s="319">
        <v>35.200000000000003</v>
      </c>
      <c r="AM402" s="313">
        <v>2573</v>
      </c>
      <c r="AN402" s="208">
        <f t="shared" si="575"/>
        <v>41.040000000000006</v>
      </c>
      <c r="AO402" s="208">
        <f t="shared" si="576"/>
        <v>34.429824561403507</v>
      </c>
      <c r="AP402" s="313">
        <v>1518</v>
      </c>
      <c r="AQ402" s="490">
        <f t="shared" si="491"/>
        <v>91425.515625</v>
      </c>
      <c r="AR402" s="76">
        <f t="shared" si="577"/>
        <v>905.203125</v>
      </c>
      <c r="AS402" s="230">
        <f t="shared" si="578"/>
        <v>37.716796875</v>
      </c>
      <c r="AT402" s="208">
        <f>AR402/(AVERAGE(AN402)*(AVERAGE(D$387,D$386,D$400,D$379,D$402,D$374,D$375,D$393,D$395,D$388))*AVERAGE(E$387,E$386,E$400,E$379,E$402,E$374,E$375,E$393,E$395,E$388)*0.0001)</f>
        <v>724.0293251274046</v>
      </c>
      <c r="AU402" s="334">
        <f>(AQ402-AQ396)/(AVERAGE(AN396:AN402)*((AVERAGE(D$387,D$386,D$400,D$379,D$402,D$374,D$375,D$393,D$395,D$388)*AVERAGE(E$387,E$386,E$400,E$379,E$402,E$374,E$375,E$393,E$395,E$388))-(V402*W402))*0.0001*(SUM(C396:C402)/24))</f>
        <v>1046.5706520366036</v>
      </c>
      <c r="AV402" s="230">
        <f>AR402/(AVERAGE(AN402)*AVERAGE(D$387,D$386,D$400,D$379,D$402,D$374,D$375,D$393,D$395,D$388)*0.01)</f>
        <v>548.12640058770171</v>
      </c>
      <c r="AW402" s="855">
        <f t="shared" si="533"/>
        <v>0.640625</v>
      </c>
      <c r="AX402" s="319"/>
      <c r="AY402" s="319"/>
      <c r="AZ402" s="319"/>
      <c r="BA402" s="319"/>
      <c r="BB402" s="319"/>
      <c r="BC402" s="320"/>
      <c r="BD402" s="368"/>
      <c r="BE402" s="368"/>
      <c r="BF402" s="317"/>
      <c r="BG402" s="318">
        <v>2.8</v>
      </c>
      <c r="BH402" s="319">
        <v>62.8</v>
      </c>
      <c r="BI402" s="319">
        <v>24700</v>
      </c>
      <c r="BJ402" s="319">
        <v>34</v>
      </c>
      <c r="BK402" s="319">
        <v>3586</v>
      </c>
      <c r="BL402" s="317">
        <v>730</v>
      </c>
      <c r="BM402" s="317">
        <v>81.5</v>
      </c>
      <c r="BN402" s="320">
        <v>106</v>
      </c>
      <c r="BO402" s="859">
        <f>D400*(100-E400)/(100-BH402)</f>
        <v>2.8858870967741939</v>
      </c>
      <c r="BP402" s="753">
        <f>D400-BG402</f>
        <v>1.4500000000000002</v>
      </c>
      <c r="BQ402" s="860">
        <f>100*(AVERAGE(D$387,D$386,D$400,D$379,D$402,D$374,D$375,D$393,D$395,D$388)-BG402)/AVERAGE(D$387,D$386,D$400,D$379,D$402,D$374,D$375,D$393,D$395,D$388)</f>
        <v>30.41749502982108</v>
      </c>
      <c r="BR402" s="861">
        <f>100*(1-((100-AVERAGE(E$387,E$386,E$400,E$379,E$402,E$374,E$375,E$393,E$395,E$388))/(100-BH402)))</f>
        <v>34.690860215053796</v>
      </c>
      <c r="BS402" s="858">
        <f>E400-BH402</f>
        <v>11.939999999999998</v>
      </c>
      <c r="BT402" s="862">
        <f>100*(1-((BG402*BH402)/(AVERAGE(D$387,D$386,D$400,D$379,D$402,D$374,D$375,D$393,D$395,D$388)*AVERAGE(E$387,E$386,E$400,E$379,E$402,E$374,E$375,E$393,E$395,E$388))))</f>
        <v>42.278828186682048</v>
      </c>
      <c r="BU402" s="863">
        <f>100*100*((AVERAGE(E$387,E$386,E$400,E$379,E$402,E$374,E$375,E$393,E$395,E$388)-BH402)/((100-BH402)*AVERAGE(E$387,E$386,E$400,E$379,E$402,E$374,E$375,E$393,E$395,E$388)))</f>
        <v>45.823737157458289</v>
      </c>
      <c r="BV402" s="318"/>
      <c r="BW402" s="319">
        <v>50.7</v>
      </c>
      <c r="BX402" s="319">
        <v>1576</v>
      </c>
      <c r="BY402" s="159">
        <f t="shared" si="565"/>
        <v>22</v>
      </c>
      <c r="BZ402" s="159">
        <f t="shared" si="566"/>
        <v>33.909090909090907</v>
      </c>
      <c r="CA402" s="319">
        <v>977</v>
      </c>
      <c r="CB402" s="76">
        <f t="shared" si="536"/>
        <v>79252.128125000003</v>
      </c>
      <c r="CC402" s="208">
        <f t="shared" si="579"/>
        <v>551.953125</v>
      </c>
      <c r="CD402" s="208">
        <f t="shared" si="580"/>
        <v>22.998046875</v>
      </c>
      <c r="CE402" s="985">
        <f>CC402/(AVERAGE(BY401,BY402)*(AVERAGE(D$387,D$386,D$400,D$379,D$402,D$374,D$375,D$393,D$395,D$388))*AVERAGE(E$387,E$386,E$400,E$379,E$402,E$374,E$375,E$393,E$395,E$388)*0.0001)</f>
        <v>754.9330158340623</v>
      </c>
      <c r="CF402" s="441">
        <f>(CB402-CB396)/(AVERAGE(BY396:BY402)*((AVERAGE(D$387,D$386,D$400,D$379,D$402,D$374,D$375,D$393,D$395,D$388)*AVERAGE(E$387,E$386,E$400,E$379,E$402,E$374,E$375,E$393,E$395,E$388))-(BG402*BH402))*0.0001*(SUM(C396:C402)/24))</f>
        <v>1537.6046024948935</v>
      </c>
      <c r="CG402" s="180">
        <f>CC402/(AVERAGE(BY402)*AVERAGE((D$387,D$386,D$400,D$379,D$402,D$374,D$375,D$393,D$395,D$388))*0.01)</f>
        <v>623.47858869510208</v>
      </c>
      <c r="CH402" s="433">
        <f t="shared" si="427"/>
        <v>0.73988354557640745</v>
      </c>
      <c r="CI402" s="319"/>
      <c r="CJ402" s="319"/>
      <c r="CK402" s="319"/>
      <c r="CL402" s="319"/>
      <c r="CM402" s="319"/>
      <c r="CN402" s="1050"/>
    </row>
    <row r="403" spans="1:92" ht="15">
      <c r="A403" s="378">
        <f t="shared" ref="A403:A466" si="585">A402+1</f>
        <v>41558</v>
      </c>
      <c r="B403" s="663">
        <v>0.33333333333333398</v>
      </c>
      <c r="C403" s="304">
        <f t="shared" si="574"/>
        <v>24</v>
      </c>
      <c r="D403" s="65"/>
      <c r="E403" s="66"/>
      <c r="F403" s="66"/>
      <c r="G403" s="66"/>
      <c r="H403" s="66"/>
      <c r="I403" s="66"/>
      <c r="J403" s="86"/>
      <c r="K403" s="86"/>
      <c r="L403" s="63"/>
      <c r="M403" s="86">
        <v>50</v>
      </c>
      <c r="N403" s="66">
        <v>80</v>
      </c>
      <c r="O403" s="261"/>
      <c r="P403" s="65">
        <v>1050</v>
      </c>
      <c r="Q403" s="210">
        <f t="shared" ref="Q403" si="586">P403/((N403-M403)*N$4)</f>
        <v>6.9665605095541405</v>
      </c>
      <c r="R403" s="225">
        <f t="shared" ref="R403" si="587">10*Q403/(AVERAGE(D$261,D$262))</f>
        <v>23.144719300844322</v>
      </c>
      <c r="S403" s="86"/>
      <c r="T403" s="86"/>
      <c r="U403" s="86"/>
      <c r="V403" s="65"/>
      <c r="W403" s="66"/>
      <c r="X403" s="66"/>
      <c r="Y403" s="66"/>
      <c r="Z403" s="66"/>
      <c r="AA403" s="86"/>
      <c r="AB403" s="86"/>
      <c r="AC403" s="63"/>
      <c r="AD403" s="87"/>
      <c r="AE403" s="87"/>
      <c r="AF403" s="87"/>
      <c r="AG403" s="66"/>
      <c r="AH403" s="66"/>
      <c r="AI403" s="64"/>
      <c r="AJ403" s="63"/>
      <c r="AK403" s="65"/>
      <c r="AL403" s="66">
        <v>35.4</v>
      </c>
      <c r="AM403" s="72">
        <v>2606</v>
      </c>
      <c r="AN403" s="208">
        <f t="shared" si="575"/>
        <v>71.28</v>
      </c>
      <c r="AO403" s="208">
        <f t="shared" si="576"/>
        <v>19.823232323232322</v>
      </c>
      <c r="AP403" s="72">
        <v>1534</v>
      </c>
      <c r="AQ403" s="490">
        <f t="shared" si="491"/>
        <v>92391.065625000003</v>
      </c>
      <c r="AR403" s="76">
        <f t="shared" si="577"/>
        <v>965.55000000000291</v>
      </c>
      <c r="AS403" s="230">
        <f t="shared" si="578"/>
        <v>40.231250000000124</v>
      </c>
      <c r="AT403" s="208">
        <f t="shared" ref="AT403:AT404" si="588">AR403/(AVERAGE(AN403)*(AVERAGE(D$387,D$386,D$400,D$379,D$402,D$374,D$375,D$393,D$395,D$388))*AVERAGE(E$387,E$386,E$400,E$379,E$402,E$374,E$375,E$393,E$395,E$388)*0.0001)</f>
        <v>444.65639361359945</v>
      </c>
      <c r="AU403" s="66"/>
      <c r="AV403" s="230">
        <f t="shared" ref="AV403:AV406" si="589">AR403/(AVERAGE(AN403)*AVERAGE(D$387,D$386,D$400,D$379,D$402,D$374,D$375,D$393,D$395,D$388)*0.01)</f>
        <v>336.62712278517552</v>
      </c>
      <c r="AW403" s="855">
        <f t="shared" si="533"/>
        <v>0.68333333333333535</v>
      </c>
      <c r="AX403" s="66"/>
      <c r="AY403" s="66"/>
      <c r="AZ403" s="66"/>
      <c r="BA403" s="66"/>
      <c r="BB403" s="66"/>
      <c r="BC403" s="63"/>
      <c r="BD403" s="64"/>
      <c r="BE403" s="64"/>
      <c r="BF403" s="86"/>
      <c r="BG403" s="65"/>
      <c r="BH403" s="66"/>
      <c r="BI403" s="66"/>
      <c r="BJ403" s="66"/>
      <c r="BK403" s="66"/>
      <c r="BL403" s="86"/>
      <c r="BM403" s="86"/>
      <c r="BN403" s="63"/>
      <c r="BO403" s="87"/>
      <c r="BP403" s="87"/>
      <c r="BQ403" s="87"/>
      <c r="BR403" s="66"/>
      <c r="BS403" s="64"/>
      <c r="BT403" s="66"/>
      <c r="BU403" s="67"/>
      <c r="BV403" s="65"/>
      <c r="BW403" s="66">
        <v>50.7</v>
      </c>
      <c r="BX403" s="66">
        <v>1601</v>
      </c>
      <c r="BY403" s="159">
        <f t="shared" si="565"/>
        <v>50</v>
      </c>
      <c r="BZ403" s="159">
        <f t="shared" si="566"/>
        <v>14.92</v>
      </c>
      <c r="CA403" s="66">
        <v>992</v>
      </c>
      <c r="CB403" s="76">
        <f t="shared" si="536"/>
        <v>80172.05</v>
      </c>
      <c r="CC403" s="208">
        <f t="shared" si="579"/>
        <v>919.921875</v>
      </c>
      <c r="CD403" s="208">
        <f t="shared" si="580"/>
        <v>38.330078125</v>
      </c>
      <c r="CE403" s="985">
        <f t="shared" ref="CE403:CE405" si="590">CC403/(AVERAGE(BY402,BY403)*(AVERAGE(D$387,D$386,D$400,D$379,D$402,D$374,D$375,D$393,D$395,D$388))*AVERAGE(E$387,E$386,E$400,E$379,E$402,E$374,E$375,E$393,E$395,E$388)*0.0001)</f>
        <v>838.81446203784685</v>
      </c>
      <c r="CF403" s="66"/>
      <c r="CG403" s="180">
        <f>CC403/(AVERAGE(BY403,BY404)*AVERAGE((D$387,D$386,D$400,D$379,D$402,D$374,D$375,D$393,D$395,D$388))*0.01)</f>
        <v>544.30670441635903</v>
      </c>
      <c r="CH403" s="433">
        <f t="shared" si="427"/>
        <v>1.2331392426273458</v>
      </c>
      <c r="CI403" s="66"/>
      <c r="CJ403" s="66"/>
      <c r="CK403" s="66"/>
      <c r="CL403" s="66"/>
      <c r="CM403" s="66"/>
      <c r="CN403" s="1049"/>
    </row>
    <row r="404" spans="1:92">
      <c r="A404" s="378">
        <f t="shared" si="585"/>
        <v>41559</v>
      </c>
      <c r="B404" s="663">
        <v>0.33333333333333398</v>
      </c>
      <c r="C404" s="304">
        <f t="shared" si="574"/>
        <v>24</v>
      </c>
      <c r="D404" s="65"/>
      <c r="E404" s="66"/>
      <c r="F404" s="66"/>
      <c r="G404" s="66"/>
      <c r="H404" s="66"/>
      <c r="I404" s="66"/>
      <c r="J404" s="86"/>
      <c r="K404" s="86"/>
      <c r="L404" s="63"/>
      <c r="M404" s="86"/>
      <c r="N404" s="66"/>
      <c r="O404" s="261"/>
      <c r="P404" s="65"/>
      <c r="Q404" s="66"/>
      <c r="R404" s="67"/>
      <c r="S404" s="86"/>
      <c r="T404" s="86"/>
      <c r="U404" s="86"/>
      <c r="V404" s="65"/>
      <c r="W404" s="66"/>
      <c r="X404" s="66"/>
      <c r="Y404" s="66"/>
      <c r="Z404" s="66"/>
      <c r="AA404" s="86"/>
      <c r="AB404" s="86"/>
      <c r="AC404" s="63"/>
      <c r="AD404" s="87"/>
      <c r="AE404" s="87"/>
      <c r="AF404" s="87"/>
      <c r="AG404" s="66"/>
      <c r="AH404" s="66"/>
      <c r="AI404" s="64"/>
      <c r="AJ404" s="63"/>
      <c r="AK404" s="65"/>
      <c r="AL404" s="66">
        <v>35.200000000000003</v>
      </c>
      <c r="AM404" s="72">
        <v>2628</v>
      </c>
      <c r="AN404" s="208">
        <f t="shared" si="575"/>
        <v>47.52</v>
      </c>
      <c r="AO404" s="208">
        <f t="shared" si="576"/>
        <v>29.734848484848484</v>
      </c>
      <c r="AP404" s="72">
        <v>1549</v>
      </c>
      <c r="AQ404" s="490">
        <f t="shared" si="491"/>
        <v>93296.268750000003</v>
      </c>
      <c r="AR404" s="76">
        <f t="shared" si="577"/>
        <v>905.203125</v>
      </c>
      <c r="AS404" s="230">
        <f t="shared" si="578"/>
        <v>37.716796875</v>
      </c>
      <c r="AT404" s="208">
        <f t="shared" si="588"/>
        <v>625.29805351912216</v>
      </c>
      <c r="AU404" s="66"/>
      <c r="AV404" s="230">
        <f t="shared" si="589"/>
        <v>473.38189141665157</v>
      </c>
      <c r="AW404" s="855">
        <f t="shared" si="533"/>
        <v>0.640625</v>
      </c>
      <c r="AX404" s="66"/>
      <c r="AY404" s="66"/>
      <c r="AZ404" s="66"/>
      <c r="BA404" s="66"/>
      <c r="BB404" s="66"/>
      <c r="BC404" s="63"/>
      <c r="BD404" s="64"/>
      <c r="BE404" s="64"/>
      <c r="BF404" s="86"/>
      <c r="BG404" s="65"/>
      <c r="BH404" s="66"/>
      <c r="BI404" s="66"/>
      <c r="BJ404" s="66"/>
      <c r="BK404" s="66"/>
      <c r="BL404" s="86"/>
      <c r="BM404" s="86"/>
      <c r="BN404" s="63"/>
      <c r="BO404" s="87"/>
      <c r="BP404" s="87"/>
      <c r="BQ404" s="87"/>
      <c r="BR404" s="66"/>
      <c r="BS404" s="64"/>
      <c r="BT404" s="66"/>
      <c r="BU404" s="67"/>
      <c r="BV404" s="65"/>
      <c r="BW404" s="66">
        <v>50.5</v>
      </c>
      <c r="BX404" s="66">
        <v>1618</v>
      </c>
      <c r="BY404" s="159">
        <f t="shared" si="565"/>
        <v>34</v>
      </c>
      <c r="BZ404" s="159">
        <f t="shared" si="566"/>
        <v>21.941176470588236</v>
      </c>
      <c r="CA404" s="66">
        <v>1005</v>
      </c>
      <c r="CB404" s="76">
        <f t="shared" si="536"/>
        <v>80969.315625000003</v>
      </c>
      <c r="CC404" s="208">
        <f t="shared" si="579"/>
        <v>797.265625</v>
      </c>
      <c r="CD404" s="208">
        <f t="shared" si="580"/>
        <v>33.219401041666664</v>
      </c>
      <c r="CE404" s="985">
        <f t="shared" si="590"/>
        <v>623.11931465668624</v>
      </c>
      <c r="CF404" s="66"/>
      <c r="CG404" s="180">
        <f>CC404/(AVERAGE(BY404)*AVERAGE((D$387,D$386,D$400,D$379,D$402,D$374,D$375,D$393,D$395,D$388))*0.01)</f>
        <v>582.72835413986661</v>
      </c>
      <c r="CH404" s="433">
        <f t="shared" si="427"/>
        <v>1.0687206769436997</v>
      </c>
      <c r="CI404" s="66"/>
      <c r="CJ404" s="66"/>
      <c r="CK404" s="66"/>
      <c r="CL404" s="66"/>
      <c r="CM404" s="66"/>
      <c r="CN404" s="1049"/>
    </row>
    <row r="405" spans="1:92" ht="15">
      <c r="A405" s="378">
        <f t="shared" si="585"/>
        <v>41560</v>
      </c>
      <c r="B405" s="663">
        <v>0.33333333333333398</v>
      </c>
      <c r="C405" s="304">
        <f t="shared" si="574"/>
        <v>24</v>
      </c>
      <c r="D405" s="65"/>
      <c r="E405" s="66"/>
      <c r="F405" s="66"/>
      <c r="G405" s="66"/>
      <c r="H405" s="66"/>
      <c r="I405" s="66"/>
      <c r="J405" s="86"/>
      <c r="K405" s="86"/>
      <c r="L405" s="63"/>
      <c r="M405" s="86">
        <v>60</v>
      </c>
      <c r="N405" s="66">
        <v>90</v>
      </c>
      <c r="O405" s="261"/>
      <c r="P405" s="65">
        <v>1050</v>
      </c>
      <c r="Q405" s="210">
        <f>P405/((N405-M405)*N$4)</f>
        <v>6.9665605095541405</v>
      </c>
      <c r="R405" s="225">
        <f>10*Q405/(AVERAGE(D$261,D$262))</f>
        <v>23.144719300844322</v>
      </c>
      <c r="S405" s="86"/>
      <c r="T405" s="86"/>
      <c r="U405" s="86"/>
      <c r="V405" s="65"/>
      <c r="W405" s="66"/>
      <c r="X405" s="66"/>
      <c r="Y405" s="66"/>
      <c r="Z405" s="66"/>
      <c r="AA405" s="86"/>
      <c r="AB405" s="86"/>
      <c r="AC405" s="63"/>
      <c r="AD405" s="87"/>
      <c r="AE405" s="87"/>
      <c r="AF405" s="87"/>
      <c r="AG405" s="66"/>
      <c r="AH405" s="66"/>
      <c r="AI405" s="64"/>
      <c r="AJ405" s="63"/>
      <c r="AK405" s="65"/>
      <c r="AL405" s="66">
        <v>35.200000000000003</v>
      </c>
      <c r="AM405" s="72">
        <v>2630</v>
      </c>
      <c r="AN405" s="208">
        <f t="shared" si="575"/>
        <v>4.32</v>
      </c>
      <c r="AO405" s="208">
        <f t="shared" si="576"/>
        <v>327.08333333333331</v>
      </c>
      <c r="AP405" s="72">
        <v>1561</v>
      </c>
      <c r="AQ405" s="490">
        <f t="shared" si="491"/>
        <v>94020.431250000009</v>
      </c>
      <c r="AR405" s="76">
        <f t="shared" si="577"/>
        <v>724.16250000000582</v>
      </c>
      <c r="AS405" s="230">
        <f t="shared" si="578"/>
        <v>30.173437500000244</v>
      </c>
      <c r="AT405" s="208">
        <f>AR405/(AVERAGE(AN404,AN405)*(AVERAGE(D$387,D$386,D$400,D$379,D$402,D$374,D$375,D$393,D$395,D$388))*AVERAGE(E$387,E$386,E$400,E$379,E$402,E$374,E$375,E$393,E$395,E$388)*0.0001)</f>
        <v>917.10381182805338</v>
      </c>
      <c r="AU405" s="66"/>
      <c r="AV405" s="230">
        <f>AR405/(AVERAGE(AN405,AN407)*AVERAGE(D$387,D$386,D$400,D$379,D$402,D$374,D$375,D$393,D$395,D$388)*0.01)</f>
        <v>438.50112047016495</v>
      </c>
      <c r="AW405" s="855">
        <f t="shared" si="533"/>
        <v>0.51250000000000417</v>
      </c>
      <c r="AX405" s="66"/>
      <c r="AY405" s="66"/>
      <c r="AZ405" s="66"/>
      <c r="BA405" s="66"/>
      <c r="BB405" s="66"/>
      <c r="BC405" s="63"/>
      <c r="BD405" s="64"/>
      <c r="BE405" s="64"/>
      <c r="BF405" s="86"/>
      <c r="BG405" s="65"/>
      <c r="BH405" s="66"/>
      <c r="BI405" s="66"/>
      <c r="BJ405" s="66"/>
      <c r="BK405" s="66"/>
      <c r="BL405" s="86"/>
      <c r="BM405" s="86"/>
      <c r="BN405" s="63"/>
      <c r="BO405" s="87"/>
      <c r="BP405" s="87"/>
      <c r="BQ405" s="87"/>
      <c r="BR405" s="66"/>
      <c r="BS405" s="64"/>
      <c r="BT405" s="66"/>
      <c r="BU405" s="67"/>
      <c r="BV405" s="65"/>
      <c r="BW405" s="66">
        <v>50.5</v>
      </c>
      <c r="BX405" s="66">
        <v>1634</v>
      </c>
      <c r="BY405" s="159">
        <f t="shared" si="565"/>
        <v>32</v>
      </c>
      <c r="BZ405" s="159">
        <f t="shared" si="566"/>
        <v>23.3125</v>
      </c>
      <c r="CA405" s="66">
        <v>1018</v>
      </c>
      <c r="CB405" s="76">
        <f t="shared" si="536"/>
        <v>81766.581250000003</v>
      </c>
      <c r="CC405" s="208">
        <f t="shared" si="579"/>
        <v>797.265625</v>
      </c>
      <c r="CD405" s="208">
        <f t="shared" si="580"/>
        <v>33.219401041666664</v>
      </c>
      <c r="CE405" s="985">
        <f t="shared" si="590"/>
        <v>793.0609459266916</v>
      </c>
      <c r="CF405" s="66"/>
      <c r="CG405" s="180">
        <f>CC405/(AVERAGE(BY405)*AVERAGE((D$387,D$386,D$400,D$379,D$402,D$374,D$375,D$393,D$395,D$388))*0.01)</f>
        <v>619.14887627360838</v>
      </c>
      <c r="CH405" s="433">
        <f t="shared" ref="CH405:CH469" si="591">CC405/CB$3</f>
        <v>1.0687206769436997</v>
      </c>
      <c r="CI405" s="66"/>
      <c r="CJ405" s="66"/>
      <c r="CK405" s="66"/>
      <c r="CL405" s="66"/>
      <c r="CM405" s="66"/>
      <c r="CN405" s="1049"/>
    </row>
    <row r="406" spans="1:92">
      <c r="A406" s="378">
        <f t="shared" si="585"/>
        <v>41561</v>
      </c>
      <c r="B406" s="663">
        <v>0.33333333333333398</v>
      </c>
      <c r="C406" s="304">
        <f t="shared" si="574"/>
        <v>24</v>
      </c>
      <c r="D406" s="65"/>
      <c r="E406" s="66"/>
      <c r="F406" s="66"/>
      <c r="G406" s="66"/>
      <c r="H406" s="66"/>
      <c r="I406" s="66"/>
      <c r="J406" s="86"/>
      <c r="K406" s="86"/>
      <c r="L406" s="63"/>
      <c r="M406" s="86"/>
      <c r="N406" s="66"/>
      <c r="O406" s="261"/>
      <c r="P406" s="65"/>
      <c r="Q406" s="66"/>
      <c r="R406" s="67"/>
      <c r="S406" s="86"/>
      <c r="T406" s="86"/>
      <c r="U406" s="86"/>
      <c r="V406" s="65"/>
      <c r="W406" s="66"/>
      <c r="X406" s="66"/>
      <c r="Y406" s="66"/>
      <c r="Z406" s="66"/>
      <c r="AA406" s="86"/>
      <c r="AB406" s="86"/>
      <c r="AC406" s="63"/>
      <c r="AD406" s="87"/>
      <c r="AE406" s="87"/>
      <c r="AF406" s="87"/>
      <c r="AG406" s="66"/>
      <c r="AH406" s="66"/>
      <c r="AI406" s="64"/>
      <c r="AJ406" s="63"/>
      <c r="AK406" s="65"/>
      <c r="AL406" s="66">
        <v>35.200000000000003</v>
      </c>
      <c r="AM406" s="72">
        <v>2645</v>
      </c>
      <c r="AN406" s="208">
        <f t="shared" ref="AN406:AN413" si="592">(AM406-AM405)*AQ$1/((C405)/24)</f>
        <v>32.400000000000006</v>
      </c>
      <c r="AO406" s="208">
        <f t="shared" ref="AO406:AO413" si="593">AQ$3/AN406</f>
        <v>43.6111111111111</v>
      </c>
      <c r="AP406" s="72">
        <v>1571</v>
      </c>
      <c r="AQ406" s="490">
        <f t="shared" si="491"/>
        <v>94623.900000000009</v>
      </c>
      <c r="AR406" s="76">
        <f t="shared" ref="AR406:AR413" si="594">(AQ406-AQ405)/(C406/24)</f>
        <v>603.46875</v>
      </c>
      <c r="AS406" s="230">
        <f t="shared" ref="AS406:AS413" si="595">(AQ406-AQ405)/C406</f>
        <v>25.14453125</v>
      </c>
      <c r="AT406" s="208">
        <f>AR406/(AVERAGE(AN407,AN406)*(AVERAGE(D$387,D$386,D$400,D$379,D$402,D$374,D$375,D$393,D$395,D$388))*AVERAGE(E$387,E$386,E$400,E$379,E$402,E$374,E$375,E$393,E$395,E$388)*0.0001)</f>
        <v>359.64855365805721</v>
      </c>
      <c r="AU406" s="66"/>
      <c r="AV406" s="230">
        <f t="shared" si="589"/>
        <v>462.86229382961483</v>
      </c>
      <c r="AW406" s="855">
        <f t="shared" si="533"/>
        <v>0.42708333333333331</v>
      </c>
      <c r="AX406" s="66"/>
      <c r="AY406" s="66"/>
      <c r="AZ406" s="66"/>
      <c r="BA406" s="66"/>
      <c r="BB406" s="66"/>
      <c r="BC406" s="63"/>
      <c r="BD406" s="64"/>
      <c r="BE406" s="64"/>
      <c r="BF406" s="86"/>
      <c r="BG406" s="65"/>
      <c r="BH406" s="66"/>
      <c r="BI406" s="66"/>
      <c r="BJ406" s="66"/>
      <c r="BK406" s="66"/>
      <c r="BL406" s="86"/>
      <c r="BM406" s="86"/>
      <c r="BN406" s="63"/>
      <c r="BO406" s="87"/>
      <c r="BP406" s="87"/>
      <c r="BQ406" s="87"/>
      <c r="BR406" s="66"/>
      <c r="BS406" s="64"/>
      <c r="BT406" s="66"/>
      <c r="BU406" s="67"/>
      <c r="BV406" s="65"/>
      <c r="BW406" s="66">
        <v>50.4</v>
      </c>
      <c r="BX406" s="66">
        <v>1642</v>
      </c>
      <c r="BY406" s="159">
        <f t="shared" ref="BY406:BY413" si="596">(BX406-BX405)*CB$1/((C406)/24)</f>
        <v>16</v>
      </c>
      <c r="BZ406" s="159">
        <f t="shared" ref="BZ406:BZ413" si="597">CB$3/BY406</f>
        <v>46.625</v>
      </c>
      <c r="CA406" s="66">
        <v>1031</v>
      </c>
      <c r="CB406" s="76">
        <f t="shared" ref="CB406:CB420" si="598">((CA406-CA$55)*CB$2)+CB$55</f>
        <v>82563.846875000003</v>
      </c>
      <c r="CC406" s="208">
        <f t="shared" ref="CC406:CC413" si="599">(CB406-CB405)/((C406/24))</f>
        <v>797.265625</v>
      </c>
      <c r="CD406" s="208">
        <f t="shared" ref="CD406:CD413" si="600">(CB406-CB405)/(C406)</f>
        <v>33.219401041666664</v>
      </c>
      <c r="CE406" s="985">
        <f>CC406/(AVERAGE(BY407,BY406)*(AVERAGE(D$387,D$386,D$400,D$379,D$402,D$374,D$375,D$393,D$395,D$388))*AVERAGE(E$387,E$386,E$400,E$379,E$402,E$374,E$375,E$393,E$395,E$388)*0.0001)</f>
        <v>817.84410048690086</v>
      </c>
      <c r="CF406" s="66"/>
      <c r="CG406" s="180">
        <f>CC406/(AVERAGE(BY406,BY407)*AVERAGE((D$387,D$386,D$400,D$379,D$402,D$374,D$375,D$393,D$395,D$388))*0.01)</f>
        <v>619.14887627360838</v>
      </c>
      <c r="CH406" s="433">
        <f t="shared" si="591"/>
        <v>1.0687206769436997</v>
      </c>
      <c r="CI406" s="66"/>
      <c r="CJ406" s="66"/>
      <c r="CK406" s="66"/>
      <c r="CL406" s="66"/>
      <c r="CM406" s="66"/>
      <c r="CN406" s="1049"/>
    </row>
    <row r="407" spans="1:92" s="1043" customFormat="1" ht="15">
      <c r="A407" s="880">
        <f t="shared" si="585"/>
        <v>41562</v>
      </c>
      <c r="B407" s="881">
        <v>0.33333333333333398</v>
      </c>
      <c r="C407" s="882">
        <f t="shared" si="574"/>
        <v>24</v>
      </c>
      <c r="D407" s="1033">
        <v>3.92</v>
      </c>
      <c r="E407" s="464">
        <v>78.349999999999994</v>
      </c>
      <c r="F407" s="921"/>
      <c r="G407" s="464">
        <v>5.56</v>
      </c>
      <c r="H407" s="921"/>
      <c r="I407" s="921"/>
      <c r="J407" s="922"/>
      <c r="K407" s="922"/>
      <c r="L407" s="923"/>
      <c r="M407" s="922">
        <v>65</v>
      </c>
      <c r="N407" s="921">
        <v>75</v>
      </c>
      <c r="O407" s="1030"/>
      <c r="P407" s="920">
        <v>350</v>
      </c>
      <c r="Q407" s="934">
        <f>P407/((N407-M407)*N$4)</f>
        <v>6.9665605095541396</v>
      </c>
      <c r="R407" s="935">
        <f>10*Q407/(AVERAGE(D$261,D$262))</f>
        <v>23.144719300844319</v>
      </c>
      <c r="S407" s="922"/>
      <c r="T407" s="922"/>
      <c r="U407" s="922"/>
      <c r="V407" s="1033">
        <v>2.4500000000000002</v>
      </c>
      <c r="W407" s="464">
        <v>67.11</v>
      </c>
      <c r="X407" s="921"/>
      <c r="Y407" s="921"/>
      <c r="Z407" s="921"/>
      <c r="AA407" s="922"/>
      <c r="AB407" s="922"/>
      <c r="AC407" s="923"/>
      <c r="AD407" s="1029">
        <f>D402*(100-E402)/(100-W407)</f>
        <v>3.1438127090301005</v>
      </c>
      <c r="AE407" s="753">
        <f>D402-V407</f>
        <v>1.9500000000000002</v>
      </c>
      <c r="AF407" s="864">
        <f>100*(AVERAGE(D$387,D$386,D$400,D$379,D$402,D$407,D$375,D$393,D$395,D$388)-V407)/AVERAGE(D$387,D$386,D$400,D$379,D$402,D$407,D$375,D$393,D$395,D$388)</f>
        <v>39.446366782006926</v>
      </c>
      <c r="AG407" s="864">
        <f>100*(1-((100-AVERAGE(E$387,E$386,E$400,E$379,E$402,E$407,E$375,E$393,E$395,E$388))/(100-W407)))</f>
        <v>27.090301003344518</v>
      </c>
      <c r="AH407" s="753">
        <f>E402-W407</f>
        <v>9.39</v>
      </c>
      <c r="AI407" s="847">
        <f>100*(1-((V407*W407)/(AVERAGE(D$387,D$386,D$400,D$379,D$402,D$407,D$375,D$393,D$395,D$388)*AVERAGE(E$387,E$386,E$400,E$379,E$402,E$407,E$375,E$393,E$395,E$388))))</f>
        <v>46.543615821369187</v>
      </c>
      <c r="AJ407" s="847">
        <f>100*100*((AVERAGE(E$387,E$386,E$400,E$379,E$402,E$407,E$375,E$393,E$395,E$388)-W407)/((100-W407)*AVERAGE(E$387,E$386,E$400,E$379,E$402,E$407,E$375,E$393,E$395,E$388)))</f>
        <v>35.635755068856234</v>
      </c>
      <c r="AK407" s="1033">
        <v>7.1</v>
      </c>
      <c r="AL407" s="464">
        <v>34</v>
      </c>
      <c r="AM407" s="929">
        <v>2681</v>
      </c>
      <c r="AN407" s="208">
        <f t="shared" si="592"/>
        <v>77.760000000000005</v>
      </c>
      <c r="AO407" s="208">
        <f t="shared" si="593"/>
        <v>18.171296296296294</v>
      </c>
      <c r="AP407" s="929">
        <v>1586</v>
      </c>
      <c r="AQ407" s="490">
        <f t="shared" si="491"/>
        <v>95529.103125000009</v>
      </c>
      <c r="AR407" s="76">
        <f t="shared" si="594"/>
        <v>905.203125</v>
      </c>
      <c r="AS407" s="230">
        <f t="shared" si="595"/>
        <v>37.716796875</v>
      </c>
      <c r="AT407" s="208">
        <f>AR407/(AVERAGE(AN408,AN407)*(AVERAGE(D$387,D$386,D$400,D$379,D$402,D$407,D$375,D$393,D$395,D$388))*AVERAGE(E$387,E$386,E$400,E$379,E$402,E$407,E$375,E$393,E$395,E$388)*0.0001)</f>
        <v>419.23273730214891</v>
      </c>
      <c r="AU407" s="334">
        <f>(AQ407-AQ401)/(AVERAGE(AN401:AN407)*((AVERAGE(D$387,D$386,D$400,D$379,D$402,D$407,D$375,D$393,D$395,D$388)*AVERAGE(E$387,E$386,E$400,E$379,E$402,E$407,E$375,E$393,E$395,E$388))-(V407*W407))*0.0001*(SUM(C401:C407)/24))</f>
        <v>1025.1990071405635</v>
      </c>
      <c r="AV407" s="230">
        <f>AR407/(AVERAGE(AN407)*AVERAGE(D$387,D$386,D$400,D$379,D$402,D$407,D$375,D$393,D$395,D$388)*0.01)</f>
        <v>287.71593400432062</v>
      </c>
      <c r="AW407" s="855">
        <f t="shared" si="533"/>
        <v>0.640625</v>
      </c>
      <c r="AX407" s="921"/>
      <c r="AY407" s="921"/>
      <c r="AZ407" s="921"/>
      <c r="BA407" s="921"/>
      <c r="BB407" s="921"/>
      <c r="BC407" s="1042" t="s">
        <v>167</v>
      </c>
      <c r="BD407" s="928"/>
      <c r="BE407" s="928"/>
      <c r="BF407" s="922"/>
      <c r="BG407" s="1033">
        <v>2.63</v>
      </c>
      <c r="BH407" s="464">
        <v>64.349999999999994</v>
      </c>
      <c r="BI407" s="921"/>
      <c r="BJ407" s="921"/>
      <c r="BK407" s="921"/>
      <c r="BL407" s="922"/>
      <c r="BM407" s="922"/>
      <c r="BN407" s="923"/>
      <c r="BO407" s="859">
        <f>D402*(100-E402)/(100-BH407)</f>
        <v>2.9004207573632534</v>
      </c>
      <c r="BP407" s="753">
        <f>D402-BG407</f>
        <v>1.7700000000000005</v>
      </c>
      <c r="BQ407" s="860">
        <f>100*(AVERAGE(D$387,D$386,D$400,D$379,D$402,D$407,D$375,D$393,D$395,D$388)-BG407)/AVERAGE(D$387,D$386,D$400,D$379,D$402,D$407,D$375,D$393,D$395,D$388)</f>
        <v>34.997528423133964</v>
      </c>
      <c r="BR407" s="861">
        <f>100*(1-((100-AVERAGE(E$387,E$386,E$400,E$379,E$402,E$407,E$375,E$393,E$395,E$388))/(100-BH407)))</f>
        <v>32.734922861150103</v>
      </c>
      <c r="BS407" s="858">
        <f>E402-BH407</f>
        <v>12.150000000000006</v>
      </c>
      <c r="BT407" s="862">
        <f>100*(1-((BG407*BH407)/(AVERAGE(D$387,D$386,D$400,D$379,D$402,D$407,D$375,D$393,D$395,D$388)*AVERAGE(E$387,E$386,E$400,E$379,E$402,E$407,E$375,E$393,E$395,E$388))))</f>
        <v>44.976203025896766</v>
      </c>
      <c r="BU407" s="863">
        <f>100*100*((AVERAGE(E$387,E$386,E$400,E$379,E$402,E$407,E$375,E$393,E$395,E$388)-BH407)/((100-BH407)*AVERAGE(E$387,E$386,E$400,E$379,E$402,E$407,E$375,E$393,E$395,E$388)))</f>
        <v>43.060935097540259</v>
      </c>
      <c r="BV407" s="1033">
        <v>7.18</v>
      </c>
      <c r="BW407" s="464">
        <v>44</v>
      </c>
      <c r="BX407" s="921">
        <v>1666</v>
      </c>
      <c r="BY407" s="159">
        <f t="shared" si="596"/>
        <v>48</v>
      </c>
      <c r="BZ407" s="159">
        <f t="shared" si="597"/>
        <v>15.541666666666666</v>
      </c>
      <c r="CA407" s="921">
        <v>1043</v>
      </c>
      <c r="CB407" s="76">
        <f t="shared" si="598"/>
        <v>83299.784375000003</v>
      </c>
      <c r="CC407" s="208">
        <f t="shared" si="599"/>
        <v>735.9375</v>
      </c>
      <c r="CD407" s="208">
        <f t="shared" si="600"/>
        <v>30.6640625</v>
      </c>
      <c r="CE407" s="985">
        <f>CC407/(AVERAGE(BY408,BY407)*(AVERAGE(D$387,D$386,D$400,D$379,D$402,D$407,D$375,D$393,D$395,D$388))*AVERAGE(E$387,E$386,E$400,E$379,E$402,E$407,E$375,E$393,E$395,E$388)*0.0001)</f>
        <v>598.17353980916369</v>
      </c>
      <c r="CF407" s="441">
        <f>(CB407-CB401)/(AVERAGE(BY401:BY407)*((AVERAGE(D$387,D$386,D$400,D$379,D$402,D$407,D$375,D$393,D$395,D$388)*AVERAGE(E$387,E$386,E$400,E$379,E$402,E$407,E$375,E$393,E$395,E$388))-(BG407*BH407))*0.0001*(SUM(C401:C407)/24))</f>
        <v>1458.3090504255749</v>
      </c>
      <c r="CG407" s="180">
        <f>CC407/(AVERAGE(BY407,BY408)*AVERAGE((D$387,D$386,D$400,D$379,D$402,D$407,D$375,D$393,D$395,D$388))*0.01)</f>
        <v>454.73152496292636</v>
      </c>
      <c r="CH407" s="433">
        <f t="shared" si="591"/>
        <v>0.98651139410187672</v>
      </c>
      <c r="CI407" s="921"/>
      <c r="CJ407" s="921"/>
      <c r="CK407" s="921"/>
      <c r="CL407" s="921"/>
      <c r="CM407" s="921"/>
      <c r="CN407" s="1048" t="s">
        <v>167</v>
      </c>
    </row>
    <row r="408" spans="1:92" s="1045" customFormat="1">
      <c r="A408" s="378">
        <f t="shared" si="585"/>
        <v>41563</v>
      </c>
      <c r="B408" s="663">
        <v>0.33333333333333398</v>
      </c>
      <c r="C408" s="304">
        <f t="shared" si="574"/>
        <v>24</v>
      </c>
      <c r="D408" s="65"/>
      <c r="E408" s="66"/>
      <c r="F408" s="66"/>
      <c r="G408" s="66"/>
      <c r="H408" s="66"/>
      <c r="I408" s="66"/>
      <c r="J408" s="86"/>
      <c r="K408" s="86"/>
      <c r="L408" s="63"/>
      <c r="M408" s="86"/>
      <c r="N408" s="66"/>
      <c r="O408" s="261"/>
      <c r="P408" s="65"/>
      <c r="Q408" s="66"/>
      <c r="R408" s="67"/>
      <c r="S408" s="86"/>
      <c r="T408" s="86"/>
      <c r="U408" s="86"/>
      <c r="V408" s="65"/>
      <c r="W408" s="66"/>
      <c r="X408" s="66"/>
      <c r="Y408" s="66"/>
      <c r="Z408" s="66"/>
      <c r="AA408" s="86"/>
      <c r="AB408" s="86"/>
      <c r="AC408" s="63"/>
      <c r="AD408" s="87"/>
      <c r="AE408" s="87"/>
      <c r="AF408" s="87"/>
      <c r="AG408" s="66"/>
      <c r="AH408" s="66"/>
      <c r="AI408" s="64"/>
      <c r="AJ408" s="63"/>
      <c r="AK408" s="65"/>
      <c r="AL408" s="66">
        <v>35.200000000000003</v>
      </c>
      <c r="AM408" s="72">
        <v>2710</v>
      </c>
      <c r="AN408" s="208">
        <f t="shared" si="592"/>
        <v>62.64</v>
      </c>
      <c r="AO408" s="208">
        <f t="shared" si="593"/>
        <v>22.557471264367816</v>
      </c>
      <c r="AP408" s="72">
        <v>1602</v>
      </c>
      <c r="AQ408" s="490">
        <f t="shared" si="491"/>
        <v>96494.653125000012</v>
      </c>
      <c r="AR408" s="76">
        <f t="shared" si="594"/>
        <v>965.55000000000291</v>
      </c>
      <c r="AS408" s="230">
        <f t="shared" si="595"/>
        <v>40.231250000000124</v>
      </c>
      <c r="AT408" s="208">
        <f>AR408/(AVERAGE(AN409,AN408)*(AVERAGE(D$387,D$386,D$400,D$379,D$402,D$407,D$375,D$393,D$395,D$388))*AVERAGE(E$387,E$386,E$400,E$379,E$402,E$407,E$375,E$393,E$395,E$388)*0.0001)</f>
        <v>519.05005570742401</v>
      </c>
      <c r="AU408" s="66"/>
      <c r="AV408" s="230">
        <f t="shared" ref="AV408" si="601">AR408/(AVERAGE(AN408)*AVERAGE(D$387,D$386,D$400,D$379,D$402,D$407,D$375,D$393,D$395,D$388)*0.01)</f>
        <v>380.97558157813609</v>
      </c>
      <c r="AW408" s="855">
        <f t="shared" si="533"/>
        <v>0.68333333333333535</v>
      </c>
      <c r="AX408" s="66"/>
      <c r="AY408" s="66"/>
      <c r="AZ408" s="66"/>
      <c r="BA408" s="66"/>
      <c r="BB408" s="66"/>
      <c r="BC408" s="63"/>
      <c r="BD408" s="64"/>
      <c r="BE408" s="64"/>
      <c r="BF408" s="86"/>
      <c r="BG408" s="65"/>
      <c r="BH408" s="66"/>
      <c r="BI408" s="66"/>
      <c r="BJ408" s="66"/>
      <c r="BK408" s="66"/>
      <c r="BL408" s="86"/>
      <c r="BM408" s="86"/>
      <c r="BN408" s="63"/>
      <c r="BO408" s="87"/>
      <c r="BP408" s="87"/>
      <c r="BQ408" s="87"/>
      <c r="BR408" s="66"/>
      <c r="BS408" s="64"/>
      <c r="BT408" s="66"/>
      <c r="BU408" s="67"/>
      <c r="BV408" s="65"/>
      <c r="BW408" s="66">
        <v>50.4</v>
      </c>
      <c r="BX408" s="66">
        <v>1682</v>
      </c>
      <c r="BY408" s="159">
        <f t="shared" si="596"/>
        <v>32</v>
      </c>
      <c r="BZ408" s="159">
        <f t="shared" si="597"/>
        <v>23.3125</v>
      </c>
      <c r="CA408" s="66">
        <v>1056</v>
      </c>
      <c r="CB408" s="76">
        <f t="shared" si="598"/>
        <v>84097.05</v>
      </c>
      <c r="CC408" s="208">
        <f t="shared" si="599"/>
        <v>797.265625</v>
      </c>
      <c r="CD408" s="208">
        <f t="shared" si="600"/>
        <v>33.219401041666664</v>
      </c>
      <c r="CE408" s="985">
        <f>CC408/(AVERAGE(BY409,BY408)*(AVERAGE(D$387,D$386,D$400,D$379,D$402,D$407,D$375,D$393,D$395,D$388))*AVERAGE(E$387,E$386,E$400,E$379,E$402,E$407,E$375,E$393,E$395,E$388)*0.0001)</f>
        <v>810.02666849157572</v>
      </c>
      <c r="CF408" s="66"/>
      <c r="CG408" s="180">
        <f>CC408/(AVERAGE(BY408)*AVERAGE((D$387,D$386,D$400,D$379,D$402,D$407,D$375,D$393,D$395,D$388))*0.01)</f>
        <v>615.78227338729607</v>
      </c>
      <c r="CH408" s="433">
        <f t="shared" si="591"/>
        <v>1.0687206769436997</v>
      </c>
      <c r="CI408" s="66"/>
      <c r="CJ408" s="66"/>
      <c r="CK408" s="66"/>
      <c r="CL408" s="66"/>
      <c r="CM408" s="66"/>
      <c r="CN408" s="1051"/>
    </row>
    <row r="409" spans="1:92" s="1024" customFormat="1">
      <c r="A409" s="309">
        <f t="shared" si="585"/>
        <v>41564</v>
      </c>
      <c r="B409" s="310">
        <v>0.33333333333333398</v>
      </c>
      <c r="C409" s="311">
        <f t="shared" ref="C409:C415" si="602">((A409-A408)+(B409-B408))*24</f>
        <v>24</v>
      </c>
      <c r="D409" s="318">
        <v>3.8</v>
      </c>
      <c r="E409" s="319">
        <v>77.099999999999994</v>
      </c>
      <c r="F409" s="319">
        <v>46300</v>
      </c>
      <c r="G409" s="319"/>
      <c r="H409" s="319"/>
      <c r="I409" s="319">
        <v>6876</v>
      </c>
      <c r="J409" s="317"/>
      <c r="K409" s="317"/>
      <c r="L409" s="320"/>
      <c r="M409" s="317"/>
      <c r="N409" s="319"/>
      <c r="O409" s="316"/>
      <c r="P409" s="318"/>
      <c r="Q409" s="319"/>
      <c r="R409" s="332"/>
      <c r="S409" s="317"/>
      <c r="T409" s="317"/>
      <c r="U409" s="317"/>
      <c r="V409" s="318">
        <v>2.6</v>
      </c>
      <c r="W409" s="319">
        <v>65.5</v>
      </c>
      <c r="X409" s="319">
        <v>26400</v>
      </c>
      <c r="Y409" s="319"/>
      <c r="Z409" s="319">
        <v>1625</v>
      </c>
      <c r="AA409" s="317"/>
      <c r="AB409" s="317"/>
      <c r="AC409" s="320"/>
      <c r="AD409" s="1029">
        <f>D407*(100-E407)/(100-W409)</f>
        <v>2.4599420289855081</v>
      </c>
      <c r="AE409" s="753">
        <f>D407-V409</f>
        <v>1.3199999999999998</v>
      </c>
      <c r="AF409" s="864">
        <f>100*(AVERAGE(D$387,D$386,D$400,D$379,D$402,D$407,D$409,D$393,D$395,D$388)-V409)/AVERAGE(D$387,D$386,D$400,D$379,D$402,D$407,D$409,D$393,D$395,D$388)</f>
        <v>36.631732878381662</v>
      </c>
      <c r="AG409" s="864">
        <f>100*(1-((100-AVERAGE(E$387,E$386,E$400,E$379,E$402,E$407,E$409,E$393,E$395,E$388))/(100-W409)))</f>
        <v>30.188405797101471</v>
      </c>
      <c r="AH409" s="753">
        <f>E407-W409</f>
        <v>12.849999999999994</v>
      </c>
      <c r="AI409" s="847">
        <f>100*(1-((V409*W409)/(AVERAGE(D$387,D$386,D$400,D$379,D$402,D$407,D$409,D$393,D$395,D$388)*AVERAGE(E$387,E$386,E$400,E$379,E$402,E$407,E$409,E$393,E$395,E$388))))</f>
        <v>45.325410044576167</v>
      </c>
      <c r="AJ409" s="847">
        <f>100*100*((AVERAGE(E$387,E$386,E$400,E$379,E$402,E$407,E$409,E$393,E$395,E$388)-W409)/((100-W409)*AVERAGE(E$387,E$386,E$400,E$379,E$402,E$407,E$409,E$393,E$395,E$388)))</f>
        <v>39.766061775803813</v>
      </c>
      <c r="AK409" s="318"/>
      <c r="AL409" s="319">
        <v>35.200000000000003</v>
      </c>
      <c r="AM409" s="313">
        <v>2737</v>
      </c>
      <c r="AN409" s="208">
        <f t="shared" si="592"/>
        <v>58.320000000000007</v>
      </c>
      <c r="AO409" s="208">
        <f t="shared" si="593"/>
        <v>24.228395061728392</v>
      </c>
      <c r="AP409" s="313">
        <v>1621</v>
      </c>
      <c r="AQ409" s="490">
        <f t="shared" si="491"/>
        <v>97641.243750000009</v>
      </c>
      <c r="AR409" s="76">
        <f t="shared" si="594"/>
        <v>1146.5906249999971</v>
      </c>
      <c r="AS409" s="230">
        <f t="shared" si="595"/>
        <v>47.774609374999876</v>
      </c>
      <c r="AT409" s="208">
        <f>AR409/(AVERAGE(AN410,AN409)*(AVERAGE(D$387,D$386,D$400,D$379,D$402,D$407,D$409,D$393,D$395,D$388))*AVERAGE(E$387,E$386,E$400,E$379,E$402,E$407,E$409,E$393,E$395,E$388)*0.0001)</f>
        <v>619.71617000508081</v>
      </c>
      <c r="AU409" s="334">
        <f>(AQ409-AQ403)/(AVERAGE(AN403:AN409)*((AVERAGE(D$387,D$386,D$400,D$379,D$402,D$407,D$409,D$393,D$395,D$388)*AVERAGE(E$387,E$386,E$400,E$379,E$402,E$407,E$409,E$393,E$395,E$388))-(V409*W409))*0.0001*(SUM(C403:C409)/24))</f>
        <v>1049.7976201577424</v>
      </c>
      <c r="AV409" s="230">
        <f>AR409/(AVERAGE(AN409)*AVERAGE(D$387,D$386,D$400,D$379,D$402,D$407,D$409,D$393,D$395,D$388)*0.01)</f>
        <v>479.1697069493452</v>
      </c>
      <c r="AW409" s="855">
        <f t="shared" si="533"/>
        <v>0.81145833333333128</v>
      </c>
      <c r="AX409" s="319"/>
      <c r="AY409" s="319"/>
      <c r="AZ409" s="319"/>
      <c r="BA409" s="319"/>
      <c r="BB409" s="319"/>
      <c r="BC409" s="320"/>
      <c r="BD409" s="368"/>
      <c r="BE409" s="368"/>
      <c r="BF409" s="317"/>
      <c r="BG409" s="318">
        <v>2.7</v>
      </c>
      <c r="BH409" s="319">
        <v>64</v>
      </c>
      <c r="BI409" s="319">
        <v>25500</v>
      </c>
      <c r="BJ409" s="319"/>
      <c r="BK409" s="319">
        <v>3457</v>
      </c>
      <c r="BL409" s="317"/>
      <c r="BM409" s="317"/>
      <c r="BN409" s="320"/>
      <c r="BO409" s="859">
        <f>D407*(100-E407)/(100-BH409)</f>
        <v>2.3574444444444449</v>
      </c>
      <c r="BP409" s="753">
        <f>D407-BG409</f>
        <v>1.2199999999999998</v>
      </c>
      <c r="BQ409" s="860">
        <f>100*(AVERAGE(D$387,D$386,D$400,D$379,D$402,D$407,D$409,D$393,D$395,D$388)-BG409)/AVERAGE(D$387,D$386,D$400,D$379,D$402,D$407,D$409,D$393,D$395,D$388)</f>
        <v>34.194491835242495</v>
      </c>
      <c r="BR409" s="861">
        <f>100*(1-((100-AVERAGE(E$387,E$386,E$400,E$379,E$402,E$407,E$409,E$393,E$395,E$388))/(100-BH409)))</f>
        <v>33.097222222222243</v>
      </c>
      <c r="BS409" s="858">
        <f>E407-BH409</f>
        <v>14.349999999999994</v>
      </c>
      <c r="BT409" s="862">
        <f>100*(1-((BG409*BH409)/(AVERAGE(D$387,D$386,D$400,D$379,D$402,D$407,D$409,D$393,D$395,D$388)*AVERAGE(E$387,E$386,E$400,E$379,E$402,E$407,E$409,E$393,E$395,E$388))))</f>
        <v>44.522788348225248</v>
      </c>
      <c r="BU409" s="863">
        <f>100*100*((AVERAGE(E$387,E$386,E$400,E$379,E$402,E$407,E$409,E$393,E$395,E$388)-BH409)/((100-BH409)*AVERAGE(E$387,E$386,E$400,E$379,E$402,E$407,E$409,E$393,E$395,E$388)))</f>
        <v>43.597737235358281</v>
      </c>
      <c r="BV409" s="318"/>
      <c r="BW409" s="319">
        <v>50.4</v>
      </c>
      <c r="BX409" s="319">
        <v>1698</v>
      </c>
      <c r="BY409" s="159">
        <f t="shared" si="596"/>
        <v>32</v>
      </c>
      <c r="BZ409" s="159">
        <f t="shared" si="597"/>
        <v>23.3125</v>
      </c>
      <c r="CA409" s="319">
        <v>1069</v>
      </c>
      <c r="CB409" s="76">
        <f t="shared" si="598"/>
        <v>84894.315625000003</v>
      </c>
      <c r="CC409" s="208">
        <f t="shared" si="599"/>
        <v>797.265625</v>
      </c>
      <c r="CD409" s="208">
        <f t="shared" si="600"/>
        <v>33.219401041666664</v>
      </c>
      <c r="CE409" s="985">
        <f>CC409/(AVERAGE(BY410,BY409)*(AVERAGE(D$387,D$386,D$400,D$379,D$402,D$407,D$409,D$393,D$395,D$388))*AVERAGE(E$387,E$386,E$400,E$379,E$402,E$407,E$409,E$393,E$395,E$388)*0.0001)</f>
        <v>799.8783604747083</v>
      </c>
      <c r="CF409" s="441">
        <f>(CB409-CB403)/(AVERAGE(BY403:BY409)*((AVERAGE(D$387,D$386,D$400,D$379,D$402,D$407,D$409,D$393,D$395,D$388)*AVERAGE(E$387,E$386,E$400,E$379,E$402,E$407,E$409,E$393,E$395,E$388))-(BG409*BH409))*0.0001*(SUM(C403:C409)/24))</f>
        <v>1395.561941762996</v>
      </c>
      <c r="CG409" s="180">
        <f>CC409/(AVERAGE(BY409)*AVERAGE((D$387,D$386,D$400,D$379,D$402,D$407,D$409,D$393,D$395,D$388))*0.01)</f>
        <v>607.22765735437486</v>
      </c>
      <c r="CH409" s="433">
        <f t="shared" si="591"/>
        <v>1.0687206769436997</v>
      </c>
      <c r="CI409" s="319"/>
      <c r="CJ409" s="319"/>
      <c r="CK409" s="319"/>
      <c r="CL409" s="319"/>
      <c r="CM409" s="319"/>
      <c r="CN409" s="1052"/>
    </row>
    <row r="410" spans="1:92" s="1045" customFormat="1">
      <c r="A410" s="378">
        <f t="shared" si="585"/>
        <v>41565</v>
      </c>
      <c r="B410" s="663">
        <v>0.33333333333333398</v>
      </c>
      <c r="C410" s="304">
        <f t="shared" si="602"/>
        <v>24</v>
      </c>
      <c r="D410" s="65"/>
      <c r="E410" s="66"/>
      <c r="F410" s="66"/>
      <c r="G410" s="66"/>
      <c r="H410" s="66"/>
      <c r="I410" s="66"/>
      <c r="J410" s="86"/>
      <c r="K410" s="86"/>
      <c r="L410" s="63"/>
      <c r="M410" s="86"/>
      <c r="N410" s="66"/>
      <c r="O410" s="261"/>
      <c r="P410" s="65"/>
      <c r="Q410" s="66"/>
      <c r="R410" s="67"/>
      <c r="S410" s="86"/>
      <c r="T410" s="86"/>
      <c r="U410" s="86"/>
      <c r="V410" s="65"/>
      <c r="W410" s="66"/>
      <c r="X410" s="66"/>
      <c r="Y410" s="66"/>
      <c r="Z410" s="66"/>
      <c r="AA410" s="86"/>
      <c r="AB410" s="86"/>
      <c r="AC410" s="63"/>
      <c r="AD410" s="87"/>
      <c r="AE410" s="87"/>
      <c r="AF410" s="87"/>
      <c r="AG410" s="66"/>
      <c r="AH410" s="66"/>
      <c r="AI410" s="64"/>
      <c r="AJ410" s="63"/>
      <c r="AK410" s="65"/>
      <c r="AL410" s="66">
        <v>35.1</v>
      </c>
      <c r="AM410" s="72">
        <v>2765</v>
      </c>
      <c r="AN410" s="208">
        <f t="shared" si="592"/>
        <v>60.480000000000004</v>
      </c>
      <c r="AO410" s="208">
        <f t="shared" si="593"/>
        <v>23.363095238095237</v>
      </c>
      <c r="AP410" s="72">
        <v>1640</v>
      </c>
      <c r="AQ410" s="490">
        <f t="shared" si="491"/>
        <v>98787.834375000006</v>
      </c>
      <c r="AR410" s="76">
        <f t="shared" si="594"/>
        <v>1146.5906249999971</v>
      </c>
      <c r="AS410" s="230">
        <f t="shared" si="595"/>
        <v>47.774609374999876</v>
      </c>
      <c r="AT410" s="208">
        <f t="shared" ref="AT410:AT412" si="603">AR410/(AVERAGE(AN409,AN410)*(AVERAGE(D$387,D$386,D$400,D$379,D$402,D$407,D$409,D$393,D$395,D$388))*AVERAGE(E$387,E$386,E$400,E$379,E$402,E$407,E$409,E$393,E$395,E$388)*0.0001)</f>
        <v>619.71617000508081</v>
      </c>
      <c r="AU410" s="66"/>
      <c r="AV410" s="230">
        <f t="shared" ref="AV410:AV413" si="604">AR410/(AVERAGE(AN410)*AVERAGE(D$387,D$386,D$400,D$379,D$402,D$407,D$409,D$393,D$395,D$388)*0.01)</f>
        <v>462.05650312972585</v>
      </c>
      <c r="AW410" s="855">
        <f t="shared" si="533"/>
        <v>0.81145833333333128</v>
      </c>
      <c r="AX410" s="66"/>
      <c r="AY410" s="66"/>
      <c r="AZ410" s="66"/>
      <c r="BA410" s="66"/>
      <c r="BB410" s="66"/>
      <c r="BC410" s="63"/>
      <c r="BD410" s="64"/>
      <c r="BE410" s="64"/>
      <c r="BF410" s="86"/>
      <c r="BG410" s="65"/>
      <c r="BH410" s="66"/>
      <c r="BI410" s="66"/>
      <c r="BJ410" s="66"/>
      <c r="BK410" s="66"/>
      <c r="BL410" s="86"/>
      <c r="BM410" s="86"/>
      <c r="BN410" s="63"/>
      <c r="BO410" s="87"/>
      <c r="BP410" s="87"/>
      <c r="BQ410" s="87"/>
      <c r="BR410" s="66"/>
      <c r="BS410" s="64"/>
      <c r="BT410" s="66"/>
      <c r="BU410" s="67"/>
      <c r="BV410" s="65"/>
      <c r="BW410" s="66">
        <v>50.5</v>
      </c>
      <c r="BX410" s="66">
        <v>1714</v>
      </c>
      <c r="BY410" s="159">
        <f t="shared" si="596"/>
        <v>32</v>
      </c>
      <c r="BZ410" s="159">
        <f t="shared" si="597"/>
        <v>23.3125</v>
      </c>
      <c r="CA410" s="66">
        <v>1082</v>
      </c>
      <c r="CB410" s="76">
        <f t="shared" si="598"/>
        <v>85691.581250000003</v>
      </c>
      <c r="CC410" s="208">
        <f t="shared" si="599"/>
        <v>797.265625</v>
      </c>
      <c r="CD410" s="208">
        <f t="shared" si="600"/>
        <v>33.219401041666664</v>
      </c>
      <c r="CE410" s="985">
        <f>CC410/(AVERAGE(BY411,BY410)*(AVERAGE(D$387,D$386,D$400,D$379,D$402,D$407,D$409,D$393,D$395,D$388))*AVERAGE(E$387,E$386,E$400,E$379,E$402,E$407,E$409,E$393,E$395,E$388)*0.0001)</f>
        <v>799.8783604747083</v>
      </c>
      <c r="CF410" s="66"/>
      <c r="CG410" s="180">
        <f>CC410/(AVERAGE(BY410)*AVERAGE((D$387,D$386,D$400,D$379,D$402,D$407,D$409,D$393,D$395,D$388))*0.01)</f>
        <v>607.22765735437486</v>
      </c>
      <c r="CH410" s="433">
        <f t="shared" si="591"/>
        <v>1.0687206769436997</v>
      </c>
      <c r="CI410" s="66"/>
      <c r="CJ410" s="66"/>
      <c r="CK410" s="66"/>
      <c r="CL410" s="66"/>
      <c r="CM410" s="66"/>
      <c r="CN410" s="1051"/>
    </row>
    <row r="411" spans="1:92" s="1045" customFormat="1">
      <c r="A411" s="378">
        <f t="shared" si="585"/>
        <v>41566</v>
      </c>
      <c r="B411" s="663">
        <v>0.33333333333333398</v>
      </c>
      <c r="C411" s="304">
        <f t="shared" si="602"/>
        <v>24</v>
      </c>
      <c r="D411" s="65"/>
      <c r="E411" s="66"/>
      <c r="F411" s="66"/>
      <c r="G411" s="66"/>
      <c r="H411" s="66"/>
      <c r="I411" s="66"/>
      <c r="J411" s="86"/>
      <c r="K411" s="86"/>
      <c r="L411" s="63"/>
      <c r="M411" s="86"/>
      <c r="N411" s="66"/>
      <c r="O411" s="261"/>
      <c r="P411" s="65"/>
      <c r="Q411" s="66"/>
      <c r="R411" s="67"/>
      <c r="S411" s="86"/>
      <c r="T411" s="86"/>
      <c r="U411" s="86"/>
      <c r="V411" s="65"/>
      <c r="W411" s="66"/>
      <c r="X411" s="66"/>
      <c r="Y411" s="66"/>
      <c r="Z411" s="66"/>
      <c r="AA411" s="86"/>
      <c r="AB411" s="86"/>
      <c r="AC411" s="63"/>
      <c r="AD411" s="87"/>
      <c r="AE411" s="87"/>
      <c r="AF411" s="87"/>
      <c r="AG411" s="66"/>
      <c r="AH411" s="66"/>
      <c r="AI411" s="64"/>
      <c r="AJ411" s="63"/>
      <c r="AK411" s="65"/>
      <c r="AL411" s="66">
        <v>35</v>
      </c>
      <c r="AM411" s="72">
        <v>2793</v>
      </c>
      <c r="AN411" s="208">
        <f t="shared" si="592"/>
        <v>60.480000000000004</v>
      </c>
      <c r="AO411" s="208">
        <f t="shared" si="593"/>
        <v>23.363095238095237</v>
      </c>
      <c r="AP411" s="72">
        <v>1659</v>
      </c>
      <c r="AQ411" s="490">
        <f t="shared" si="491"/>
        <v>99934.425000000003</v>
      </c>
      <c r="AR411" s="76">
        <f t="shared" si="594"/>
        <v>1146.5906249999971</v>
      </c>
      <c r="AS411" s="230">
        <f t="shared" si="595"/>
        <v>47.774609374999876</v>
      </c>
      <c r="AT411" s="208">
        <f t="shared" si="603"/>
        <v>608.64980982641862</v>
      </c>
      <c r="AU411" s="66"/>
      <c r="AV411" s="230">
        <f t="shared" si="604"/>
        <v>462.05650312972585</v>
      </c>
      <c r="AW411" s="855">
        <f t="shared" si="533"/>
        <v>0.81145833333333128</v>
      </c>
      <c r="AX411" s="66"/>
      <c r="AY411" s="66"/>
      <c r="AZ411" s="66"/>
      <c r="BA411" s="66"/>
      <c r="BB411" s="66"/>
      <c r="BC411" s="63"/>
      <c r="BD411" s="64"/>
      <c r="BE411" s="64"/>
      <c r="BF411" s="86"/>
      <c r="BG411" s="65"/>
      <c r="BH411" s="66"/>
      <c r="BI411" s="66"/>
      <c r="BJ411" s="66"/>
      <c r="BK411" s="66"/>
      <c r="BL411" s="86"/>
      <c r="BM411" s="86"/>
      <c r="BN411" s="63"/>
      <c r="BO411" s="87"/>
      <c r="BP411" s="87"/>
      <c r="BQ411" s="87"/>
      <c r="BR411" s="66"/>
      <c r="BS411" s="64"/>
      <c r="BT411" s="66"/>
      <c r="BU411" s="67"/>
      <c r="BV411" s="65"/>
      <c r="BW411" s="66">
        <v>50.6</v>
      </c>
      <c r="BX411" s="66">
        <v>1730</v>
      </c>
      <c r="BY411" s="159">
        <f t="shared" si="596"/>
        <v>32</v>
      </c>
      <c r="BZ411" s="159">
        <f t="shared" si="597"/>
        <v>23.3125</v>
      </c>
      <c r="CA411" s="66">
        <v>1095</v>
      </c>
      <c r="CB411" s="76">
        <f t="shared" si="598"/>
        <v>86488.846875000003</v>
      </c>
      <c r="CC411" s="208">
        <f t="shared" si="599"/>
        <v>797.265625</v>
      </c>
      <c r="CD411" s="208">
        <f t="shared" si="600"/>
        <v>33.219401041666664</v>
      </c>
      <c r="CE411" s="985">
        <f>CC411/(AVERAGE(BY412,BY411)*(AVERAGE(D$387,D$386,D$400,D$379,D$402,D$407,D$409,D$393,D$395,D$388))*AVERAGE(E$387,E$386,E$400,E$379,E$402,E$407,E$409,E$393,E$395,E$388)*0.0001)</f>
        <v>799.8783604747083</v>
      </c>
      <c r="CF411" s="66"/>
      <c r="CG411" s="180">
        <f>CC411/(AVERAGE(BY411)*AVERAGE((D$387,D$386,D$400,D$379,D$402,D$407,D$409,D$393,D$395,D$388))*0.01)</f>
        <v>607.22765735437486</v>
      </c>
      <c r="CH411" s="433">
        <f t="shared" si="591"/>
        <v>1.0687206769436997</v>
      </c>
      <c r="CI411" s="66"/>
      <c r="CJ411" s="66"/>
      <c r="CK411" s="66"/>
      <c r="CL411" s="66"/>
      <c r="CM411" s="66"/>
      <c r="CN411" s="1051"/>
    </row>
    <row r="412" spans="1:92" s="1045" customFormat="1">
      <c r="A412" s="378">
        <f t="shared" si="585"/>
        <v>41567</v>
      </c>
      <c r="B412" s="663">
        <v>0.33333333333333398</v>
      </c>
      <c r="C412" s="304">
        <f t="shared" si="602"/>
        <v>24</v>
      </c>
      <c r="D412" s="65"/>
      <c r="E412" s="66"/>
      <c r="F412" s="66"/>
      <c r="G412" s="66"/>
      <c r="H412" s="66"/>
      <c r="I412" s="66"/>
      <c r="J412" s="86"/>
      <c r="K412" s="86"/>
      <c r="L412" s="63"/>
      <c r="M412" s="86"/>
      <c r="N412" s="66"/>
      <c r="O412" s="261"/>
      <c r="P412" s="65"/>
      <c r="Q412" s="66"/>
      <c r="R412" s="67"/>
      <c r="S412" s="86"/>
      <c r="T412" s="86"/>
      <c r="U412" s="86"/>
      <c r="V412" s="65"/>
      <c r="W412" s="66"/>
      <c r="X412" s="66"/>
      <c r="Y412" s="66"/>
      <c r="Z412" s="66"/>
      <c r="AA412" s="86"/>
      <c r="AB412" s="86"/>
      <c r="AC412" s="63"/>
      <c r="AD412" s="87"/>
      <c r="AE412" s="87"/>
      <c r="AF412" s="87"/>
      <c r="AG412" s="66"/>
      <c r="AH412" s="66"/>
      <c r="AI412" s="64"/>
      <c r="AJ412" s="63"/>
      <c r="AK412" s="65"/>
      <c r="AL412" s="66">
        <v>35.299999999999997</v>
      </c>
      <c r="AM412" s="72">
        <v>2822</v>
      </c>
      <c r="AN412" s="208">
        <f t="shared" si="592"/>
        <v>62.64</v>
      </c>
      <c r="AO412" s="208">
        <f t="shared" si="593"/>
        <v>22.557471264367816</v>
      </c>
      <c r="AP412" s="72">
        <v>1679</v>
      </c>
      <c r="AQ412" s="490">
        <f t="shared" si="491"/>
        <v>101141.3625</v>
      </c>
      <c r="AR412" s="76">
        <f t="shared" si="594"/>
        <v>1206.9375</v>
      </c>
      <c r="AS412" s="230">
        <f t="shared" si="595"/>
        <v>50.2890625</v>
      </c>
      <c r="AT412" s="208">
        <f t="shared" si="603"/>
        <v>629.443939986695</v>
      </c>
      <c r="AU412" s="66"/>
      <c r="AV412" s="230">
        <f t="shared" si="604"/>
        <v>469.60370554019443</v>
      </c>
      <c r="AW412" s="855">
        <f t="shared" si="533"/>
        <v>0.85416666666666663</v>
      </c>
      <c r="AX412" s="66"/>
      <c r="AY412" s="66"/>
      <c r="AZ412" s="66"/>
      <c r="BA412" s="66"/>
      <c r="BB412" s="66"/>
      <c r="BC412" s="63"/>
      <c r="BD412" s="64"/>
      <c r="BE412" s="64"/>
      <c r="BF412" s="86"/>
      <c r="BG412" s="65"/>
      <c r="BH412" s="66"/>
      <c r="BI412" s="66"/>
      <c r="BJ412" s="66"/>
      <c r="BK412" s="66"/>
      <c r="BL412" s="86"/>
      <c r="BM412" s="86"/>
      <c r="BN412" s="63"/>
      <c r="BO412" s="87"/>
      <c r="BP412" s="87"/>
      <c r="BQ412" s="87"/>
      <c r="BR412" s="66"/>
      <c r="BS412" s="64"/>
      <c r="BT412" s="66"/>
      <c r="BU412" s="67"/>
      <c r="BV412" s="65"/>
      <c r="BW412" s="66">
        <v>50.5</v>
      </c>
      <c r="BX412" s="66">
        <v>1746</v>
      </c>
      <c r="BY412" s="159">
        <f t="shared" si="596"/>
        <v>32</v>
      </c>
      <c r="BZ412" s="159">
        <f t="shared" si="597"/>
        <v>23.3125</v>
      </c>
      <c r="CA412" s="66">
        <v>1108</v>
      </c>
      <c r="CB412" s="76">
        <f t="shared" si="598"/>
        <v>87286.112500000003</v>
      </c>
      <c r="CC412" s="208">
        <f t="shared" si="599"/>
        <v>797.265625</v>
      </c>
      <c r="CD412" s="208">
        <f t="shared" si="600"/>
        <v>33.219401041666664</v>
      </c>
      <c r="CE412" s="985">
        <f>CC412/(AVERAGE(BY413,BY412)*(AVERAGE(D$387,D$386,D$400,D$379,D$402,D$407,D$409,D$393,D$395,D$388))*AVERAGE(E$387,E$386,E$400,E$379,E$402,E$407,E$409,E$393,E$395,E$388)*0.0001)</f>
        <v>799.8783604747083</v>
      </c>
      <c r="CF412" s="66"/>
      <c r="CG412" s="180">
        <f>CC412/(AVERAGE(BY412)*AVERAGE((D$387,D$386,D$400,D$379,D$402,D$407,D$409,D$393,D$395,D$388))*0.01)</f>
        <v>607.22765735437486</v>
      </c>
      <c r="CH412" s="433">
        <f t="shared" si="591"/>
        <v>1.0687206769436997</v>
      </c>
      <c r="CI412" s="66"/>
      <c r="CJ412" s="66"/>
      <c r="CK412" s="66"/>
      <c r="CL412" s="66"/>
      <c r="CM412" s="66"/>
      <c r="CN412" s="1051"/>
    </row>
    <row r="413" spans="1:92" s="1045" customFormat="1">
      <c r="A413" s="378">
        <f t="shared" si="585"/>
        <v>41568</v>
      </c>
      <c r="B413" s="663">
        <v>0.33333333333333398</v>
      </c>
      <c r="C413" s="304">
        <f t="shared" si="602"/>
        <v>24</v>
      </c>
      <c r="D413" s="65"/>
      <c r="E413" s="66"/>
      <c r="F413" s="66"/>
      <c r="G413" s="66"/>
      <c r="H413" s="66"/>
      <c r="I413" s="66"/>
      <c r="J413" s="86"/>
      <c r="K413" s="86"/>
      <c r="L413" s="63"/>
      <c r="M413" s="86"/>
      <c r="N413" s="66"/>
      <c r="O413" s="261"/>
      <c r="P413" s="65"/>
      <c r="Q413" s="66"/>
      <c r="R413" s="67"/>
      <c r="S413" s="86"/>
      <c r="T413" s="86"/>
      <c r="U413" s="86"/>
      <c r="V413" s="65"/>
      <c r="W413" s="66"/>
      <c r="X413" s="66"/>
      <c r="Y413" s="66"/>
      <c r="Z413" s="66"/>
      <c r="AA413" s="86"/>
      <c r="AB413" s="86"/>
      <c r="AC413" s="63"/>
      <c r="AD413" s="87"/>
      <c r="AE413" s="87"/>
      <c r="AF413" s="87"/>
      <c r="AG413" s="66"/>
      <c r="AH413" s="66"/>
      <c r="AI413" s="64"/>
      <c r="AJ413" s="63"/>
      <c r="AK413" s="65"/>
      <c r="AL413" s="66">
        <v>35.200000000000003</v>
      </c>
      <c r="AM413" s="72">
        <v>2850</v>
      </c>
      <c r="AN413" s="208">
        <f t="shared" si="592"/>
        <v>60.480000000000004</v>
      </c>
      <c r="AO413" s="208">
        <f t="shared" si="593"/>
        <v>23.363095238095237</v>
      </c>
      <c r="AP413" s="72">
        <v>1699</v>
      </c>
      <c r="AQ413" s="490">
        <f t="shared" si="491"/>
        <v>102348.3</v>
      </c>
      <c r="AR413" s="76">
        <f t="shared" si="594"/>
        <v>1206.9375</v>
      </c>
      <c r="AS413" s="230">
        <f t="shared" si="595"/>
        <v>50.2890625</v>
      </c>
      <c r="AT413" s="208">
        <f>AR413/(AVERAGE(AN413,AN414)*(AVERAGE(D$387,D$386,D$400,D$379,D$402,D$407,D$409,D$393,D$395,D$388))*AVERAGE(E$387,E$386,E$400,E$379,E$402,E$407,E$409,E$393,E$395,E$388)*0.0001)</f>
        <v>676.94914300455878</v>
      </c>
      <c r="AU413" s="66"/>
      <c r="AV413" s="230">
        <f t="shared" si="604"/>
        <v>486.37526645234425</v>
      </c>
      <c r="AW413" s="855">
        <f t="shared" si="533"/>
        <v>0.85416666666666663</v>
      </c>
      <c r="AX413" s="66"/>
      <c r="AY413" s="66"/>
      <c r="AZ413" s="66"/>
      <c r="BA413" s="66"/>
      <c r="BB413" s="66"/>
      <c r="BC413" s="63"/>
      <c r="BD413" s="64"/>
      <c r="BE413" s="64"/>
      <c r="BF413" s="86"/>
      <c r="BG413" s="65"/>
      <c r="BH413" s="66"/>
      <c r="BI413" s="66"/>
      <c r="BJ413" s="66"/>
      <c r="BK413" s="66"/>
      <c r="BL413" s="86"/>
      <c r="BM413" s="86"/>
      <c r="BN413" s="63"/>
      <c r="BO413" s="87"/>
      <c r="BP413" s="87"/>
      <c r="BQ413" s="87"/>
      <c r="BR413" s="66"/>
      <c r="BS413" s="64"/>
      <c r="BT413" s="66"/>
      <c r="BU413" s="67"/>
      <c r="BV413" s="65"/>
      <c r="BW413" s="66">
        <v>50.5</v>
      </c>
      <c r="BX413" s="66">
        <v>1762</v>
      </c>
      <c r="BY413" s="159">
        <f t="shared" si="596"/>
        <v>32</v>
      </c>
      <c r="BZ413" s="159">
        <f t="shared" si="597"/>
        <v>23.3125</v>
      </c>
      <c r="CA413" s="66">
        <v>1119</v>
      </c>
      <c r="CB413" s="76">
        <f t="shared" si="598"/>
        <v>87960.721875000003</v>
      </c>
      <c r="CC413" s="208">
        <f t="shared" si="599"/>
        <v>674.609375</v>
      </c>
      <c r="CD413" s="208">
        <f t="shared" si="600"/>
        <v>28.108723958333332</v>
      </c>
      <c r="CE413" s="985">
        <f>CC413/(AVERAGE(BY414,BY413)*(AVERAGE(D$387,D$386,D$400,D$379,D$402,D$407,D$409,D$393,D$395,D$388))*AVERAGE(E$387,E$386,E$400,E$379,E$402,E$407,E$409,E$393,E$395,E$388)*0.0001)</f>
        <v>676.82015117090702</v>
      </c>
      <c r="CF413" s="66"/>
      <c r="CG413" s="180">
        <f>CC413/(AVERAGE(BY413,BY414)*AVERAGE((D$387,D$386,D$400,D$379,D$402,D$407,D$409,D$393,D$395,D$388))*0.01)</f>
        <v>513.80801776139413</v>
      </c>
      <c r="CH413" s="433">
        <f t="shared" si="591"/>
        <v>0.90430211126005366</v>
      </c>
      <c r="CI413" s="66"/>
      <c r="CJ413" s="66"/>
      <c r="CK413" s="66"/>
      <c r="CL413" s="66"/>
      <c r="CM413" s="66"/>
      <c r="CN413" s="1051"/>
    </row>
    <row r="414" spans="1:92" s="1024" customFormat="1">
      <c r="A414" s="309">
        <f t="shared" si="585"/>
        <v>41569</v>
      </c>
      <c r="B414" s="310">
        <v>0.33333333333333398</v>
      </c>
      <c r="C414" s="311">
        <f t="shared" si="602"/>
        <v>24</v>
      </c>
      <c r="D414" s="339">
        <v>3.32</v>
      </c>
      <c r="E414" s="365">
        <v>78</v>
      </c>
      <c r="F414" s="319"/>
      <c r="G414" s="365">
        <v>5.84</v>
      </c>
      <c r="H414" s="319"/>
      <c r="I414" s="319"/>
      <c r="J414" s="317"/>
      <c r="K414" s="317"/>
      <c r="L414" s="320"/>
      <c r="M414" s="317">
        <v>58</v>
      </c>
      <c r="N414" s="319">
        <v>85</v>
      </c>
      <c r="O414" s="316"/>
      <c r="P414" s="318"/>
      <c r="Q414" s="319"/>
      <c r="R414" s="332"/>
      <c r="S414" s="317"/>
      <c r="T414" s="317"/>
      <c r="U414" s="317"/>
      <c r="V414" s="339">
        <v>2.46</v>
      </c>
      <c r="W414" s="365">
        <v>66.62</v>
      </c>
      <c r="X414" s="319"/>
      <c r="Y414" s="319"/>
      <c r="Z414" s="319"/>
      <c r="AA414" s="317"/>
      <c r="AB414" s="317"/>
      <c r="AC414" s="320"/>
      <c r="AD414" s="1029">
        <f>D409*(100-E409)/(100-W414)</f>
        <v>2.6069502696225295</v>
      </c>
      <c r="AE414" s="753">
        <f>D409-V414</f>
        <v>1.3399999999999999</v>
      </c>
      <c r="AF414" s="864">
        <f>100*(AVERAGE(D$387,D$386,D$400,D$414,D$402,D$407,D$409,D$393,D$395,D$388)-V414)/AVERAGE(D$387,D$386,D$400,D$414,D$402,D$407,D$409,D$393,D$395,D$388)</f>
        <v>39.003223406893127</v>
      </c>
      <c r="AG414" s="864">
        <f>100*(1-((100-AVERAGE(E$387,E$386,E$400,E$414,E$402,E$407,E$409,E$393,E$395,E$388))/(100-W414)))</f>
        <v>29.080287597363718</v>
      </c>
      <c r="AH414" s="753">
        <f>E409-W414</f>
        <v>10.47999999999999</v>
      </c>
      <c r="AI414" s="847">
        <f>100*(1-((V414*W414)/(AVERAGE(D$387,D$386,D$400,D$414,D$402,D$407,D$409,D$393,D$395,D$388)*AVERAGE(E$387,E$386,E$400,E$414,E$402,E$407,E$409,E$393,E$395,E$388))))</f>
        <v>46.760579393494048</v>
      </c>
      <c r="AJ414" s="847">
        <f>100*100*((AVERAGE(E$387,E$386,E$400,E$414,E$402,E$407,E$409,E$393,E$395,E$388)-W414)/((100-W414)*AVERAGE(E$387,E$386,E$400,E$414,E$402,E$407,E$409,E$393,E$395,E$388)))</f>
        <v>38.099607736926274</v>
      </c>
      <c r="AK414" s="339">
        <v>7.13</v>
      </c>
      <c r="AL414" s="365">
        <v>34.200000000000003</v>
      </c>
      <c r="AM414" s="313">
        <v>2875</v>
      </c>
      <c r="AN414" s="208">
        <f t="shared" ref="AN414:AN420" si="605">(AM414-AM413)*AQ$1/((C413)/24)</f>
        <v>54</v>
      </c>
      <c r="AO414" s="208">
        <f t="shared" ref="AO414:AO420" si="606">AQ$3/AN414</f>
        <v>26.166666666666668</v>
      </c>
      <c r="AP414" s="313">
        <v>1719</v>
      </c>
      <c r="AQ414" s="490">
        <f t="shared" si="491"/>
        <v>103555.2375</v>
      </c>
      <c r="AR414" s="76">
        <f t="shared" ref="AR414:AR420" si="607">(AQ414-AQ413)/(C414/24)</f>
        <v>1206.9375</v>
      </c>
      <c r="AS414" s="230">
        <f t="shared" ref="AS414:AS420" si="608">(AQ414-AQ413)/C414</f>
        <v>50.2890625</v>
      </c>
      <c r="AT414" s="208">
        <f>AR414/(AVERAGE(AN414,AN415)*(AVERAGE(D$387,D$386,D$400,D$414,D$402,D$407,D$409,D$393,D$395,D$388))*AVERAGE(E$387,E$386,E$400,E$414,E$402,E$407,E$409,E$393,E$395,E$388)*0.0001)</f>
        <v>684.9813405827208</v>
      </c>
      <c r="AU414" s="334">
        <f>(AQ414-AQ408)/(AVERAGE(AN408:AN414)*((AVERAGE(D$387,D$386,D$400,D$414,D$402,D$407,D$409,D$393,D$395,D$388)*AVERAGE(E$387,E$386,E$400,E$414,E$402,E$407,E$409,E$393,E$395,E$388))-(V414*W414))*0.0001*(SUM(C408:C414)/24))</f>
        <v>1170.5739835275594</v>
      </c>
      <c r="AV414" s="230">
        <f>AR414/(AVERAGE(AN414,AN415)*AVERAGE(D$387,D$386,D$400,D$414,D$402,D$407,D$409,D$393,D$395,D$388)*0.01)</f>
        <v>522.82570782657331</v>
      </c>
      <c r="AW414" s="855">
        <f t="shared" si="533"/>
        <v>0.85416666666666663</v>
      </c>
      <c r="AX414" s="319">
        <v>69.599999999999994</v>
      </c>
      <c r="AY414" s="319">
        <v>30.3</v>
      </c>
      <c r="AZ414" s="319">
        <v>0</v>
      </c>
      <c r="BA414" s="319">
        <v>72</v>
      </c>
      <c r="BB414" s="319">
        <v>150</v>
      </c>
      <c r="BC414" s="320"/>
      <c r="BD414" s="368"/>
      <c r="BE414" s="368"/>
      <c r="BF414" s="317"/>
      <c r="BG414" s="1046">
        <v>2.65</v>
      </c>
      <c r="BH414" s="1046">
        <v>60.72</v>
      </c>
      <c r="BI414" s="319"/>
      <c r="BJ414" s="319"/>
      <c r="BK414" s="319"/>
      <c r="BL414" s="317"/>
      <c r="BM414" s="317"/>
      <c r="BN414" s="320"/>
      <c r="BO414" s="859">
        <f>D409*(100-E409)/(100-BH414)</f>
        <v>2.2153767820773935</v>
      </c>
      <c r="BP414" s="753">
        <f>D409-BG414</f>
        <v>1.1499999999999999</v>
      </c>
      <c r="BQ414" s="860">
        <f>100*(AVERAGE(D$387,D$386,D$400,D$414,D$402,D$407,D$409,D$393,D$395,D$388)-BG414)/AVERAGE(D$387,D$386,D$400,D$414,D$402,D$407,D$409,D$393,D$395,D$388)</f>
        <v>34.292090255392999</v>
      </c>
      <c r="BR414" s="861">
        <f>100*(1-((100-AVERAGE(E$387,E$386,E$400,E$414,E$402,E$407,E$409,E$393,E$395,E$388))/(100-BH414)))</f>
        <v>39.732688391038728</v>
      </c>
      <c r="BS414" s="858">
        <f>E409-BH414</f>
        <v>16.379999999999995</v>
      </c>
      <c r="BT414" s="862">
        <f>100*(1-((BG414*BH414)/(AVERAGE(D$387,D$386,D$400,D$414,D$402,D$407,D$409,D$393,D$395,D$388)*AVERAGE(E$387,E$386,E$400,E$414,E$402,E$407,E$409,E$393,E$395,E$388))))</f>
        <v>47.727746672965843</v>
      </c>
      <c r="BU414" s="863">
        <f>100*100*((AVERAGE(E$387,E$386,E$400,E$414,E$402,E$407,E$409,E$393,E$395,E$388)-BH414)/((100-BH414)*AVERAGE(E$387,E$386,E$400,E$414,E$402,E$407,E$409,E$393,E$395,E$388)))</f>
        <v>52.055875890626808</v>
      </c>
      <c r="BV414" s="339">
        <v>7.23</v>
      </c>
      <c r="BW414" s="365">
        <v>48.3</v>
      </c>
      <c r="BX414" s="319">
        <v>1778</v>
      </c>
      <c r="BY414" s="159">
        <f t="shared" ref="BY414:BY420" si="609">(BX414-BX413)*CB$1/((C414)/24)</f>
        <v>32</v>
      </c>
      <c r="BZ414" s="159">
        <f t="shared" ref="BZ414:BZ420" si="610">CB$3/BY414</f>
        <v>23.3125</v>
      </c>
      <c r="CA414" s="319">
        <v>1131</v>
      </c>
      <c r="CB414" s="76">
        <f t="shared" si="598"/>
        <v>88696.659375000003</v>
      </c>
      <c r="CC414" s="208">
        <f t="shared" ref="CC414:CC420" si="611">(CB414-CB413)/((C414/24))</f>
        <v>735.9375</v>
      </c>
      <c r="CD414" s="208">
        <f t="shared" ref="CD414:CD420" si="612">(CB414-CB413)/(C414)</f>
        <v>30.6640625</v>
      </c>
      <c r="CE414" s="985">
        <f>CC414/(AVERAGE(BY415,BY414)*(AVERAGE(D$387,D$386,D$400,D$414,D$402,D$407,D$409,D$393,D$395,D$388))*AVERAGE(E$387,E$386,E$400,E$414,E$402,E$407,E$409,E$393,E$395,E$388)*0.0001)</f>
        <v>796.91731575111669</v>
      </c>
      <c r="CF414" s="441">
        <f>(CB414-CB408)/(AVERAGE(BY408:BY414)*((AVERAGE(D$387,D$386,D$400,D$414,D$402,D$407,D$409,D$393,D$395,D$388)*AVERAGE(E$387,E$386,E$400,E$414,E$402,E$407,E$409,E$393,E$395,E$388))-(BG414*BH414))*0.0001*(SUM(C408:C414)/24))</f>
        <v>1397.6408520886303</v>
      </c>
      <c r="CG414" s="180">
        <f>CC414/(AVERAGE(BY414,BY415)*AVERAGE((D$387,D$386,D$400,D$414,D$402,D$407,D$409,D$393,D$395,D$388))*0.01)</f>
        <v>608.26307959335497</v>
      </c>
      <c r="CH414" s="433">
        <f t="shared" si="591"/>
        <v>0.98651139410187672</v>
      </c>
      <c r="CI414" s="319">
        <v>69.099999999999994</v>
      </c>
      <c r="CJ414" s="319">
        <v>30.8</v>
      </c>
      <c r="CK414" s="319">
        <v>0</v>
      </c>
      <c r="CL414" s="319">
        <v>96</v>
      </c>
      <c r="CM414" s="319">
        <v>195</v>
      </c>
      <c r="CN414" s="1052" t="s">
        <v>168</v>
      </c>
    </row>
    <row r="415" spans="1:92" s="1045" customFormat="1">
      <c r="A415" s="1034">
        <f t="shared" si="585"/>
        <v>41570</v>
      </c>
      <c r="B415" s="1035">
        <v>0.33333333333333398</v>
      </c>
      <c r="C415" s="854">
        <f t="shared" si="602"/>
        <v>24</v>
      </c>
      <c r="D415" s="87"/>
      <c r="E415" s="66"/>
      <c r="F415" s="66"/>
      <c r="G415" s="66"/>
      <c r="H415" s="66"/>
      <c r="I415" s="66"/>
      <c r="J415" s="86"/>
      <c r="K415" s="86"/>
      <c r="L415" s="63"/>
      <c r="M415" s="86"/>
      <c r="N415" s="66"/>
      <c r="O415" s="261"/>
      <c r="P415" s="65"/>
      <c r="Q415" s="66"/>
      <c r="R415" s="67"/>
      <c r="S415" s="86"/>
      <c r="T415" s="86"/>
      <c r="U415" s="86"/>
      <c r="V415" s="65"/>
      <c r="W415" s="66"/>
      <c r="X415" s="66"/>
      <c r="Y415" s="66"/>
      <c r="Z415" s="66"/>
      <c r="AA415" s="86"/>
      <c r="AB415" s="86"/>
      <c r="AC415" s="63"/>
      <c r="AD415" s="87"/>
      <c r="AE415" s="87"/>
      <c r="AF415" s="87"/>
      <c r="AG415" s="66"/>
      <c r="AH415" s="66"/>
      <c r="AI415" s="64"/>
      <c r="AJ415" s="63"/>
      <c r="AK415" s="65"/>
      <c r="AL415" s="66">
        <v>35.200000000000003</v>
      </c>
      <c r="AM415" s="72">
        <v>2903</v>
      </c>
      <c r="AN415" s="208">
        <f t="shared" si="605"/>
        <v>60.480000000000004</v>
      </c>
      <c r="AO415" s="208">
        <f t="shared" si="606"/>
        <v>23.363095238095237</v>
      </c>
      <c r="AP415" s="72">
        <v>1735</v>
      </c>
      <c r="AQ415" s="490">
        <f t="shared" si="491"/>
        <v>104520.78750000001</v>
      </c>
      <c r="AR415" s="76">
        <f t="shared" si="607"/>
        <v>965.55000000000291</v>
      </c>
      <c r="AS415" s="230">
        <f t="shared" si="608"/>
        <v>40.231250000000124</v>
      </c>
      <c r="AT415" s="208">
        <f t="shared" ref="AT415" si="613">AR415/(AVERAGE(AN415,AN416)*(AVERAGE(D$387,D$386,D$400,D$414,D$402,D$407,D$409,D$393,D$395,D$388))*AVERAGE(E$387,E$386,E$400,E$414,E$402,E$407,E$409,E$393,E$395,E$388)*0.0001)</f>
        <v>660.07292819789643</v>
      </c>
      <c r="AU415" s="66"/>
      <c r="AV415" s="230">
        <f>AR415/(AVERAGE(AN416,AN415)*AVERAGE(D$387,D$386,D$400,D$414,D$402,D$407,D$409,D$393,D$395,D$388)*0.01)</f>
        <v>503.81386390560851</v>
      </c>
      <c r="AW415" s="855">
        <f t="shared" si="533"/>
        <v>0.68333333333333535</v>
      </c>
      <c r="AX415" s="66"/>
      <c r="AY415" s="66"/>
      <c r="AZ415" s="66"/>
      <c r="BA415" s="66"/>
      <c r="BB415" s="66"/>
      <c r="BC415" s="63"/>
      <c r="BD415" s="64"/>
      <c r="BE415" s="64"/>
      <c r="BF415" s="86"/>
      <c r="BG415" s="65"/>
      <c r="BH415" s="66"/>
      <c r="BI415" s="66"/>
      <c r="BJ415" s="66"/>
      <c r="BK415" s="66"/>
      <c r="BL415" s="86"/>
      <c r="BM415" s="86"/>
      <c r="BN415" s="63"/>
      <c r="BO415" s="87"/>
      <c r="BP415" s="87"/>
      <c r="BQ415" s="87"/>
      <c r="BR415" s="66"/>
      <c r="BS415" s="64"/>
      <c r="BT415" s="66"/>
      <c r="BU415" s="67"/>
      <c r="BV415" s="65"/>
      <c r="BW415" s="66">
        <v>50.5</v>
      </c>
      <c r="BX415" s="66">
        <v>1792</v>
      </c>
      <c r="BY415" s="159">
        <f t="shared" si="609"/>
        <v>28</v>
      </c>
      <c r="BZ415" s="159">
        <f t="shared" si="610"/>
        <v>26.642857142857142</v>
      </c>
      <c r="CA415" s="66">
        <v>1143</v>
      </c>
      <c r="CB415" s="76">
        <f t="shared" si="598"/>
        <v>89432.596875000003</v>
      </c>
      <c r="CC415" s="208">
        <f t="shared" si="611"/>
        <v>735.9375</v>
      </c>
      <c r="CD415" s="208">
        <f t="shared" si="612"/>
        <v>30.6640625</v>
      </c>
      <c r="CE415" s="985">
        <f t="shared" ref="CE415" si="614">CC415/(AVERAGE(BY416,BY415)*(AVERAGE(D$387,D$386,D$400,D$414,D$402,D$407,D$409,D$393,D$395,D$388))*AVERAGE(E$387,E$386,E$400,E$414,E$402,E$407,E$409,E$393,E$395,E$388)*0.0001)</f>
        <v>747.10998351667183</v>
      </c>
      <c r="CF415" s="66"/>
      <c r="CG415" s="180">
        <f>CC415/(AVERAGE(BY415,BY416)*AVERAGE((D$387,D$386,D$400,D$414,D$402,D$407,D$409,D$393,D$395,D$388))*0.01)</f>
        <v>570.2466371187702</v>
      </c>
      <c r="CH415" s="433">
        <f t="shared" si="591"/>
        <v>0.98651139410187672</v>
      </c>
      <c r="CI415" s="66"/>
      <c r="CJ415" s="66"/>
      <c r="CK415" s="66"/>
      <c r="CL415" s="66"/>
      <c r="CM415" s="66"/>
      <c r="CN415" s="1051"/>
    </row>
    <row r="416" spans="1:92" s="1024" customFormat="1">
      <c r="A416" s="1036">
        <f t="shared" si="585"/>
        <v>41571</v>
      </c>
      <c r="B416" s="1037">
        <v>0.33333333333333398</v>
      </c>
      <c r="C416" s="847">
        <f t="shared" ref="C416:C417" si="615">((A416-A415)+(B416-B415))*24</f>
        <v>24</v>
      </c>
      <c r="D416" s="366">
        <v>3.4</v>
      </c>
      <c r="E416" s="319">
        <v>74.3</v>
      </c>
      <c r="F416" s="319">
        <v>36400</v>
      </c>
      <c r="G416" s="319"/>
      <c r="H416" s="319">
        <v>44.2</v>
      </c>
      <c r="I416" s="319">
        <v>4987</v>
      </c>
      <c r="J416" s="317">
        <v>2189</v>
      </c>
      <c r="K416" s="317">
        <v>43.4</v>
      </c>
      <c r="L416" s="320">
        <v>179</v>
      </c>
      <c r="M416" s="317"/>
      <c r="N416" s="319"/>
      <c r="O416" s="316"/>
      <c r="P416" s="318"/>
      <c r="Q416" s="319"/>
      <c r="R416" s="332"/>
      <c r="S416" s="317"/>
      <c r="T416" s="317"/>
      <c r="U416" s="317"/>
      <c r="V416" s="318">
        <v>2.6</v>
      </c>
      <c r="W416" s="319">
        <v>65</v>
      </c>
      <c r="X416" s="319">
        <v>22400</v>
      </c>
      <c r="Y416" s="319">
        <v>39.1</v>
      </c>
      <c r="Z416" s="319">
        <v>1631</v>
      </c>
      <c r="AA416" s="317">
        <v>445</v>
      </c>
      <c r="AB416" s="317">
        <v>76.2</v>
      </c>
      <c r="AC416" s="320">
        <v>113</v>
      </c>
      <c r="AD416" s="1029">
        <f>D414*(100-E414)/(100-W416)</f>
        <v>2.0868571428571427</v>
      </c>
      <c r="AE416" s="753">
        <f>D414-V416</f>
        <v>0.71999999999999975</v>
      </c>
      <c r="AF416" s="864">
        <f>100*(AVERAGE(D$387,D$416,D$400,D$414,D$402,D$407,D$409,D$393,D$395,D$388)-V416)/AVERAGE(D$387,D$416,D$400,D$414,D$402,D$407,D$409,D$393,D$395,D$388)</f>
        <v>34.525308486527322</v>
      </c>
      <c r="AG416" s="864">
        <f>100*(1-((100-AVERAGE(E$387,E$416,E$400,E$414,E$402,E$407,E$409,E$393,E$395,E$388))/(100-W416)))</f>
        <v>31.651428571428575</v>
      </c>
      <c r="AH416" s="753">
        <f>E414-W416</f>
        <v>13</v>
      </c>
      <c r="AI416" s="847">
        <f>100*(1-((V416*W416)/(AVERAGE(D$387,D$416,D$400,D$414,D$402,D$407,D$409,D$393,D$395,D$388)*AVERAGE(E$387,E$416,E$400,E$414,E$402,E$407,E$409,E$393,E$395,E$388))))</f>
        <v>44.059321375749583</v>
      </c>
      <c r="AJ416" s="847">
        <f>100*100*((AVERAGE(E$387,E$416,E$400,E$414,E$402,E$407,E$409,E$393,E$395,E$388)-W416)/((100-W416)*AVERAGE(E$387,E$416,E$400,E$414,E$402,E$407,E$409,E$393,E$395,E$388)))</f>
        <v>41.603917783628091</v>
      </c>
      <c r="AK416" s="318"/>
      <c r="AL416" s="319">
        <v>35.299999999999997</v>
      </c>
      <c r="AM416" s="313">
        <v>2919</v>
      </c>
      <c r="AN416" s="208">
        <f t="shared" si="605"/>
        <v>34.56</v>
      </c>
      <c r="AO416" s="208">
        <f t="shared" si="606"/>
        <v>40.885416666666664</v>
      </c>
      <c r="AP416" s="313">
        <v>1748</v>
      </c>
      <c r="AQ416" s="490">
        <f t="shared" si="491"/>
        <v>105305.29687500001</v>
      </c>
      <c r="AR416" s="76">
        <f t="shared" si="607"/>
        <v>784.50937500000873</v>
      </c>
      <c r="AS416" s="230">
        <f t="shared" si="608"/>
        <v>32.687890625000364</v>
      </c>
      <c r="AT416" s="208">
        <f>AR416/(AVERAGE(AN416,AN417)*(AVERAGE(D$387,D$416,D$400,D$414,D$402,D$407,D$409,D$393,D$395,D$388))*AVERAGE(E$387,E$416,E$400,E$414,E$402,E$407,E$409,E$393,E$395,E$388)*0.0001)</f>
        <v>462.3938664739274</v>
      </c>
      <c r="AU416" s="334">
        <f>(AQ416-AQ410)/(AVERAGE(AN410:AN416)*((AVERAGE(D$387,D$416,D$400,D$414,D$402,D$407,D$409,D$393,D$395,D$388)*AVERAGE(E$387,E$416,E$400,E$414,E$402,E$407,E$409,E$393,E$395,E$388))-(V416*W416))*0.0001*(SUM(C410:C416)/24))</f>
        <v>1245.5369740098529</v>
      </c>
      <c r="AV416" s="230">
        <f>AR416/(AVERAGE(AN417,AN416)*AVERAGE(D$387,D$416,D$400,D$414,D$402,D$407,D$409,D$393,D$395,D$388)*0.01)</f>
        <v>351.78000573603458</v>
      </c>
      <c r="AW416" s="855">
        <f t="shared" si="533"/>
        <v>0.55520833333333952</v>
      </c>
      <c r="AX416" s="319"/>
      <c r="AY416" s="319"/>
      <c r="AZ416" s="319"/>
      <c r="BA416" s="319"/>
      <c r="BB416" s="319"/>
      <c r="BC416" s="320"/>
      <c r="BD416" s="368"/>
      <c r="BE416" s="368"/>
      <c r="BF416" s="317"/>
      <c r="BG416" s="318">
        <v>2.7</v>
      </c>
      <c r="BH416" s="319">
        <v>62.6</v>
      </c>
      <c r="BI416" s="319">
        <v>22700</v>
      </c>
      <c r="BJ416" s="319">
        <v>39</v>
      </c>
      <c r="BK416" s="319">
        <v>3425</v>
      </c>
      <c r="BL416" s="317">
        <v>660</v>
      </c>
      <c r="BM416" s="317">
        <v>92.2</v>
      </c>
      <c r="BN416" s="320">
        <v>85.7</v>
      </c>
      <c r="BO416" s="859">
        <f>D414*(100-E414)/(100-BH416)</f>
        <v>1.9529411764705882</v>
      </c>
      <c r="BP416" s="753">
        <f>D414-BG416</f>
        <v>0.61999999999999966</v>
      </c>
      <c r="BQ416" s="860">
        <f>100*(AVERAGE(D$387,D$416,D$400,D$414,D$402,D$407,D$409,D$393,D$395,D$388)-BG416)/AVERAGE(D$387,D$416,D$400,D$414,D$402,D$407,D$409,D$393,D$395,D$388)</f>
        <v>32.007051120624524</v>
      </c>
      <c r="BR416" s="861">
        <f>100*(1-((100-AVERAGE(E$387,E$416,E$400,E$414,E$402,E$407,E$409,E$393,E$395,E$388))/(100-BH416)))</f>
        <v>36.037433155080222</v>
      </c>
      <c r="BS416" s="858">
        <f>E414-BH416</f>
        <v>15.399999999999999</v>
      </c>
      <c r="BT416" s="862">
        <f>100*(1-((BG416*BH416)/(AVERAGE(D$387,D$416,D$400,D$414,D$402,D$407,D$409,D$393,D$395,D$388)*AVERAGE(E$387,E$416,E$400,E$414,E$402,E$407,E$409,E$393,E$395,E$388))))</f>
        <v>44.05270117709582</v>
      </c>
      <c r="BU416" s="863">
        <f>100*100*((AVERAGE(E$387,E$416,E$400,E$414,E$402,E$407,E$409,E$393,E$395,E$388)-BH416)/((100-BH416)*AVERAGE(E$387,E$416,E$400,E$414,E$402,E$407,E$409,E$393,E$395,E$388)))</f>
        <v>47.369059590262914</v>
      </c>
      <c r="BV416" s="318"/>
      <c r="BW416" s="319">
        <v>50.7</v>
      </c>
      <c r="BX416" s="319">
        <v>1810</v>
      </c>
      <c r="BY416" s="159">
        <f t="shared" si="609"/>
        <v>36</v>
      </c>
      <c r="BZ416" s="159">
        <f t="shared" si="610"/>
        <v>20.722222222222221</v>
      </c>
      <c r="CA416" s="319">
        <v>1152</v>
      </c>
      <c r="CB416" s="76">
        <f t="shared" si="598"/>
        <v>89984.55</v>
      </c>
      <c r="CC416" s="208">
        <f t="shared" si="611"/>
        <v>551.953125</v>
      </c>
      <c r="CD416" s="208">
        <f t="shared" si="612"/>
        <v>22.998046875</v>
      </c>
      <c r="CE416" s="985">
        <f>CC416/(AVERAGE(BY417,BY416)*(AVERAGE(D$387,D$416,D$400,D$414,D$402,D$407,D$409,D$393,D$395,D$388))*AVERAGE(E$387,E$416,E$400,E$414,E$402,E$407,E$409,E$393,E$395,E$388)*0.0001)</f>
        <v>537.3587257444434</v>
      </c>
      <c r="CF416" s="441">
        <f>(CB416-CB410)/(AVERAGE(BY410:BY416)*((AVERAGE(D$387,D$416,D$400,D$414,D$402,D$407,D$409,D$393,D$395,D$388)*AVERAGE(E$387,E$416,E$400,E$414,E$402,E$407,E$409,E$393,E$395,E$388))-(BG416*BH416))*0.0001*(SUM(C410:C416)/24))</f>
        <v>1440.0520559535835</v>
      </c>
      <c r="CG416" s="180">
        <f>CC416/(AVERAGE(BY416,BY417)*AVERAGE((D$387,D$416,D$400,D$414,D$402,D$407,D$409,D$393,D$395,D$388))*0.01)</f>
        <v>408.81177137185767</v>
      </c>
      <c r="CH416" s="433">
        <f t="shared" si="591"/>
        <v>0.73988354557640745</v>
      </c>
      <c r="CI416" s="319"/>
      <c r="CJ416" s="319"/>
      <c r="CK416" s="319"/>
      <c r="CL416" s="319"/>
      <c r="CM416" s="319"/>
      <c r="CN416" s="1052"/>
    </row>
    <row r="417" spans="1:92" s="1043" customFormat="1">
      <c r="A417" s="1038">
        <f t="shared" si="585"/>
        <v>41572</v>
      </c>
      <c r="B417" s="1039">
        <v>0.33333333333333398</v>
      </c>
      <c r="C417" s="896">
        <f t="shared" si="615"/>
        <v>24</v>
      </c>
      <c r="D417" s="1040"/>
      <c r="E417" s="1041"/>
      <c r="F417" s="1041"/>
      <c r="G417" s="1041"/>
      <c r="H417" s="1041"/>
      <c r="I417" s="1041"/>
      <c r="J417" s="1041"/>
      <c r="K417" s="1041"/>
      <c r="L417" s="1041"/>
      <c r="M417" s="1041"/>
      <c r="N417" s="1041">
        <v>80</v>
      </c>
      <c r="O417" s="906"/>
      <c r="P417" s="1041"/>
      <c r="Q417" s="1041"/>
      <c r="R417" s="1041"/>
      <c r="S417" s="1041"/>
      <c r="T417" s="1041"/>
      <c r="U417" s="1041"/>
      <c r="V417" s="1041"/>
      <c r="W417" s="1041"/>
      <c r="X417" s="1041"/>
      <c r="Y417" s="1041"/>
      <c r="Z417" s="1041"/>
      <c r="AA417" s="1041"/>
      <c r="AB417" s="1041"/>
      <c r="AC417" s="1041"/>
      <c r="AD417" s="1041"/>
      <c r="AE417" s="1041"/>
      <c r="AF417" s="1041"/>
      <c r="AG417" s="1041"/>
      <c r="AH417" s="1041"/>
      <c r="AI417" s="1041"/>
      <c r="AJ417" s="1041"/>
      <c r="AK417" s="1041"/>
      <c r="AL417" s="1041">
        <v>35.299999999999997</v>
      </c>
      <c r="AM417" s="883">
        <v>2955</v>
      </c>
      <c r="AN417" s="208">
        <f t="shared" si="605"/>
        <v>77.760000000000005</v>
      </c>
      <c r="AO417" s="208">
        <f t="shared" si="606"/>
        <v>18.171296296296294</v>
      </c>
      <c r="AP417" s="883">
        <v>1761</v>
      </c>
      <c r="AQ417" s="490">
        <f t="shared" si="491"/>
        <v>106089.80625000001</v>
      </c>
      <c r="AR417" s="76">
        <f t="shared" si="607"/>
        <v>784.50937499999418</v>
      </c>
      <c r="AS417" s="230">
        <f t="shared" si="608"/>
        <v>32.68789062499976</v>
      </c>
      <c r="AT417" s="208">
        <f t="shared" ref="AT417:AT421" si="616">AR417/(AVERAGE(AN417,AN418)*(AVERAGE(D$387,D$416,D$400,D$414,D$402,D$407,D$409,D$393,D$395,D$388))*AVERAGE(E$387,E$416,E$400,E$414,E$402,E$407,E$409,E$393,E$395,E$388)*0.0001)</f>
        <v>333.95112578671922</v>
      </c>
      <c r="AU417" s="1041"/>
      <c r="AV417" s="230">
        <f>AR417/(AVERAGE(AN418,AN417)*AVERAGE(D$387,D$416,D$400,D$414,D$402,D$407,D$409,D$393,D$395,D$388)*0.01)</f>
        <v>254.06333747602025</v>
      </c>
      <c r="AW417" s="855">
        <f t="shared" si="533"/>
        <v>0.5552083333333292</v>
      </c>
      <c r="AX417" s="1041"/>
      <c r="AY417" s="1041"/>
      <c r="AZ417" s="1041"/>
      <c r="BA417" s="1041"/>
      <c r="BB417" s="1041"/>
      <c r="BC417" s="1041"/>
      <c r="BD417" s="1041"/>
      <c r="BE417" s="1041"/>
      <c r="BF417" s="1041"/>
      <c r="BG417" s="1041"/>
      <c r="BH417" s="1041"/>
      <c r="BI417" s="1041"/>
      <c r="BJ417" s="1041"/>
      <c r="BK417" s="1041"/>
      <c r="BL417" s="1041"/>
      <c r="BM417" s="1041"/>
      <c r="BN417" s="1041"/>
      <c r="BO417" s="1041"/>
      <c r="BP417" s="1041"/>
      <c r="BQ417" s="1041"/>
      <c r="BR417" s="1041"/>
      <c r="BS417" s="1041"/>
      <c r="BT417" s="1041"/>
      <c r="BU417" s="1041"/>
      <c r="BV417" s="1041"/>
      <c r="BW417" s="1041">
        <v>50.5</v>
      </c>
      <c r="BX417" s="1041">
        <v>1826</v>
      </c>
      <c r="BY417" s="159">
        <f t="shared" si="609"/>
        <v>32</v>
      </c>
      <c r="BZ417" s="159">
        <f t="shared" si="610"/>
        <v>23.3125</v>
      </c>
      <c r="CA417" s="1041">
        <v>1160</v>
      </c>
      <c r="CB417" s="76">
        <f t="shared" si="598"/>
        <v>90475.175000000003</v>
      </c>
      <c r="CC417" s="208">
        <f t="shared" si="611"/>
        <v>490.625</v>
      </c>
      <c r="CD417" s="208">
        <f t="shared" si="612"/>
        <v>20.442708333333332</v>
      </c>
      <c r="CE417" s="985">
        <f t="shared" ref="CE417:CE421" si="617">CC417/(AVERAGE(BY418,BY417)*(AVERAGE(D$387,D$416,D$400,D$414,D$402,D$407,D$409,D$393,D$395,D$388))*AVERAGE(E$387,E$416,E$400,E$414,E$402,E$407,E$409,E$393,E$395,E$388)*0.0001)</f>
        <v>507.50546320308547</v>
      </c>
      <c r="CF417" s="1041"/>
      <c r="CG417" s="180">
        <f>CC417/(AVERAGE(BY417,BY418)*AVERAGE((D$387,D$416,D$400,D$414,D$402,D$407,D$409,D$393,D$395,D$388))*0.01)</f>
        <v>386.10000629564337</v>
      </c>
      <c r="CH417" s="433">
        <f t="shared" si="591"/>
        <v>0.6576742627345844</v>
      </c>
      <c r="CI417" s="1041"/>
      <c r="CJ417" s="1041"/>
      <c r="CK417" s="1041"/>
      <c r="CL417" s="1041"/>
      <c r="CM417" s="1041"/>
      <c r="CN417" s="1048" t="s">
        <v>169</v>
      </c>
    </row>
    <row r="418" spans="1:92" s="1045" customFormat="1">
      <c r="A418" s="1034">
        <f t="shared" si="585"/>
        <v>41573</v>
      </c>
      <c r="B418" s="1035">
        <v>0.33333333333333398</v>
      </c>
      <c r="C418" s="854">
        <f t="shared" ref="C418:C421" si="618">((A418-A417)+(B418-B417))*24</f>
        <v>24</v>
      </c>
      <c r="D418" s="149"/>
      <c r="E418" s="147"/>
      <c r="F418" s="147"/>
      <c r="G418" s="147"/>
      <c r="H418" s="147"/>
      <c r="I418" s="147"/>
      <c r="J418" s="147"/>
      <c r="K418" s="147"/>
      <c r="L418" s="147"/>
      <c r="M418" s="147"/>
      <c r="N418" s="147"/>
      <c r="O418" s="855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  <c r="AA418" s="147"/>
      <c r="AB418" s="147"/>
      <c r="AC418" s="147"/>
      <c r="AD418" s="147"/>
      <c r="AE418" s="147"/>
      <c r="AF418" s="147"/>
      <c r="AG418" s="147"/>
      <c r="AH418" s="147"/>
      <c r="AI418" s="147"/>
      <c r="AJ418" s="147"/>
      <c r="AK418" s="147"/>
      <c r="AL418" s="147">
        <v>35.799999999999997</v>
      </c>
      <c r="AM418" s="76">
        <v>15</v>
      </c>
      <c r="AN418" s="208"/>
      <c r="AO418" s="208"/>
      <c r="AP418" s="76">
        <v>9</v>
      </c>
      <c r="AQ418" s="72">
        <f>((AP418)*AQ$2)</f>
        <v>543.12187500000005</v>
      </c>
      <c r="AR418" s="76"/>
      <c r="AS418" s="230"/>
      <c r="AT418" s="208"/>
      <c r="AU418" s="147"/>
      <c r="AV418" s="230"/>
      <c r="AW418" s="855">
        <f t="shared" si="533"/>
        <v>0</v>
      </c>
      <c r="AX418" s="147"/>
      <c r="AY418" s="147"/>
      <c r="AZ418" s="147"/>
      <c r="BA418" s="147"/>
      <c r="BB418" s="147"/>
      <c r="BC418" s="147"/>
      <c r="BD418" s="147"/>
      <c r="BE418" s="147"/>
      <c r="BF418" s="147"/>
      <c r="BG418" s="147"/>
      <c r="BH418" s="147"/>
      <c r="BI418" s="147"/>
      <c r="BJ418" s="147"/>
      <c r="BK418" s="147"/>
      <c r="BL418" s="147"/>
      <c r="BM418" s="147"/>
      <c r="BN418" s="147"/>
      <c r="BO418" s="147"/>
      <c r="BP418" s="147"/>
      <c r="BQ418" s="147"/>
      <c r="BR418" s="147"/>
      <c r="BS418" s="147"/>
      <c r="BT418" s="147"/>
      <c r="BU418" s="147"/>
      <c r="BV418" s="147"/>
      <c r="BW418" s="147">
        <v>51.2</v>
      </c>
      <c r="BX418" s="147">
        <v>23</v>
      </c>
      <c r="BY418" s="159"/>
      <c r="BZ418" s="159"/>
      <c r="CA418" s="147">
        <v>5</v>
      </c>
      <c r="CB418" s="76">
        <f t="shared" si="598"/>
        <v>19641.190624999999</v>
      </c>
      <c r="CC418" s="208"/>
      <c r="CD418" s="208"/>
      <c r="CE418" s="985"/>
      <c r="CF418" s="147"/>
      <c r="CG418" s="180"/>
      <c r="CH418" s="433">
        <f t="shared" si="591"/>
        <v>0</v>
      </c>
      <c r="CI418" s="147"/>
      <c r="CJ418" s="147"/>
      <c r="CK418" s="147"/>
      <c r="CL418" s="147"/>
      <c r="CM418" s="147"/>
      <c r="CN418" s="1048" t="s">
        <v>146</v>
      </c>
    </row>
    <row r="419" spans="1:92" s="1045" customFormat="1">
      <c r="A419" s="1034">
        <f t="shared" si="585"/>
        <v>41574</v>
      </c>
      <c r="B419" s="1035">
        <v>0.33333333333333398</v>
      </c>
      <c r="C419" s="854">
        <f t="shared" si="618"/>
        <v>24</v>
      </c>
      <c r="D419" s="1044"/>
      <c r="E419" s="1044"/>
      <c r="F419" s="1044"/>
      <c r="G419" s="1044"/>
      <c r="H419" s="1044"/>
      <c r="I419" s="1044"/>
      <c r="J419" s="1044"/>
      <c r="K419" s="1044"/>
      <c r="L419" s="1044"/>
      <c r="M419" s="1044"/>
      <c r="N419" s="1044">
        <v>80</v>
      </c>
      <c r="O419" s="1044"/>
      <c r="P419" s="1044"/>
      <c r="Q419" s="1044"/>
      <c r="R419" s="1044"/>
      <c r="S419" s="1044"/>
      <c r="T419" s="1044"/>
      <c r="U419" s="1044"/>
      <c r="V419" s="1044"/>
      <c r="W419" s="1044"/>
      <c r="X419" s="1044"/>
      <c r="Y419" s="1044"/>
      <c r="Z419" s="1044"/>
      <c r="AA419" s="1044"/>
      <c r="AB419" s="1044"/>
      <c r="AC419" s="1044"/>
      <c r="AD419" s="1044"/>
      <c r="AE419" s="1044"/>
      <c r="AF419" s="1044"/>
      <c r="AG419" s="1044"/>
      <c r="AH419" s="1044"/>
      <c r="AI419" s="1044"/>
      <c r="AJ419" s="1044"/>
      <c r="AK419" s="1044"/>
      <c r="AL419" s="1044">
        <v>35.799999999999997</v>
      </c>
      <c r="AM419" s="1068">
        <v>48</v>
      </c>
      <c r="AN419" s="208">
        <f t="shared" si="605"/>
        <v>71.28</v>
      </c>
      <c r="AO419" s="208">
        <f t="shared" si="606"/>
        <v>19.823232323232322</v>
      </c>
      <c r="AP419" s="1068">
        <v>19</v>
      </c>
      <c r="AQ419" s="76">
        <f>((AP419-AP$418)*AQ$2)</f>
        <v>603.46875</v>
      </c>
      <c r="AR419" s="76">
        <f t="shared" si="607"/>
        <v>60.346874999999955</v>
      </c>
      <c r="AS419" s="230">
        <f t="shared" si="608"/>
        <v>2.514453124999998</v>
      </c>
      <c r="AT419" s="208">
        <f t="shared" si="616"/>
        <v>29.358340728502981</v>
      </c>
      <c r="AU419" s="1044"/>
      <c r="AV419" s="230">
        <f>AR419/(AVERAGE(AN419,AN420)*AVERAGE(D$387,D$416,D$400,D$414,D$402,D$407,D$409,D$393,D$395,D$388)*0.01)</f>
        <v>22.335238459430499</v>
      </c>
      <c r="AW419" s="855">
        <f t="shared" si="533"/>
        <v>4.27083333333333E-2</v>
      </c>
      <c r="AX419" s="1044"/>
      <c r="AY419" s="1044"/>
      <c r="AZ419" s="1044"/>
      <c r="BA419" s="1044"/>
      <c r="BB419" s="1044"/>
      <c r="BC419" s="1044"/>
      <c r="BD419" s="1044"/>
      <c r="BE419" s="1044"/>
      <c r="BF419" s="1044"/>
      <c r="BG419" s="1044"/>
      <c r="BH419" s="1044"/>
      <c r="BI419" s="1044"/>
      <c r="BJ419" s="1044"/>
      <c r="BK419" s="1044"/>
      <c r="BL419" s="1044"/>
      <c r="BM419" s="1044"/>
      <c r="BN419" s="1044"/>
      <c r="BO419" s="1044"/>
      <c r="BP419" s="1044"/>
      <c r="BQ419" s="1044"/>
      <c r="BR419" s="1044"/>
      <c r="BS419" s="1044"/>
      <c r="BT419" s="1044"/>
      <c r="BU419" s="1044"/>
      <c r="BV419" s="1044"/>
      <c r="BW419" s="1044">
        <v>51.1</v>
      </c>
      <c r="BX419" s="1044">
        <v>40</v>
      </c>
      <c r="BY419" s="1054">
        <f t="shared" si="609"/>
        <v>34</v>
      </c>
      <c r="BZ419" s="1054">
        <f t="shared" si="610"/>
        <v>21.941176470588236</v>
      </c>
      <c r="CA419" s="1044">
        <v>11</v>
      </c>
      <c r="CB419" s="76">
        <f t="shared" si="598"/>
        <v>20009.159374999999</v>
      </c>
      <c r="CC419" s="208">
        <f t="shared" si="611"/>
        <v>367.96875</v>
      </c>
      <c r="CD419" s="208">
        <f t="shared" si="612"/>
        <v>15.33203125</v>
      </c>
      <c r="CE419" s="230">
        <f t="shared" si="617"/>
        <v>380.62909740231407</v>
      </c>
      <c r="CF419" s="1044"/>
      <c r="CG419" s="208">
        <f>CC419/(AVERAGE(BY419,BY420)*AVERAGE((D$387,D$416,D$400,D$414,D$402,D$407,D$409,D$393,D$395,D$388))*0.01)</f>
        <v>289.57500472173257</v>
      </c>
      <c r="CH419" s="855">
        <f t="shared" si="591"/>
        <v>0.49325569705093836</v>
      </c>
      <c r="CI419" s="1044"/>
      <c r="CJ419" s="1044"/>
      <c r="CK419" s="1044"/>
      <c r="CL419" s="1044"/>
      <c r="CM419" s="1044"/>
      <c r="CN419" s="1051"/>
    </row>
    <row r="420" spans="1:92" s="1045" customFormat="1">
      <c r="A420" s="1034">
        <f t="shared" si="585"/>
        <v>41575</v>
      </c>
      <c r="B420" s="1035">
        <v>0.33333333333333398</v>
      </c>
      <c r="C420" s="854">
        <f t="shared" si="618"/>
        <v>24</v>
      </c>
      <c r="D420" s="1044"/>
      <c r="E420" s="1044"/>
      <c r="F420" s="1044"/>
      <c r="G420" s="1044"/>
      <c r="H420" s="1044"/>
      <c r="I420" s="1044"/>
      <c r="J420" s="1044"/>
      <c r="K420" s="1044"/>
      <c r="L420" s="1044"/>
      <c r="M420" s="1044"/>
      <c r="N420" s="1044"/>
      <c r="O420" s="1044"/>
      <c r="P420" s="1044"/>
      <c r="Q420" s="1044"/>
      <c r="R420" s="1044"/>
      <c r="S420" s="1044"/>
      <c r="T420" s="1044"/>
      <c r="U420" s="1044"/>
      <c r="V420" s="1044"/>
      <c r="W420" s="1044"/>
      <c r="X420" s="1044"/>
      <c r="Y420" s="1044"/>
      <c r="Z420" s="1044"/>
      <c r="AA420" s="1044"/>
      <c r="AB420" s="1044"/>
      <c r="AC420" s="1044"/>
      <c r="AD420" s="1044"/>
      <c r="AE420" s="1044"/>
      <c r="AF420" s="1044"/>
      <c r="AG420" s="1044"/>
      <c r="AH420" s="1044"/>
      <c r="AI420" s="1044"/>
      <c r="AJ420" s="1044"/>
      <c r="AK420" s="1044"/>
      <c r="AL420" s="1044">
        <v>35.5</v>
      </c>
      <c r="AM420" s="1068">
        <v>78</v>
      </c>
      <c r="AN420" s="208">
        <f t="shared" si="605"/>
        <v>64.800000000000011</v>
      </c>
      <c r="AO420" s="208">
        <f t="shared" si="606"/>
        <v>21.80555555555555</v>
      </c>
      <c r="AP420" s="1068">
        <v>29</v>
      </c>
      <c r="AQ420" s="76">
        <f t="shared" ref="AQ420:AQ483" si="619">((AP420-AP$418)*AQ$2)</f>
        <v>1206.9375</v>
      </c>
      <c r="AR420" s="76">
        <f t="shared" si="607"/>
        <v>603.46875</v>
      </c>
      <c r="AS420" s="230">
        <f t="shared" si="608"/>
        <v>25.14453125</v>
      </c>
      <c r="AT420" s="208">
        <f t="shared" si="616"/>
        <v>324.48692384134898</v>
      </c>
      <c r="AU420" s="1044"/>
      <c r="AV420" s="230">
        <f>AR420/(AVERAGE(AN421,AN420)*AVERAGE(D$387,D$416,D$400,D$414,D$402,D$407,D$409,D$393,D$395,D$388)*0.01)</f>
        <v>246.86316192002147</v>
      </c>
      <c r="AW420" s="855">
        <f t="shared" si="533"/>
        <v>0.42708333333333331</v>
      </c>
      <c r="AX420" s="1044"/>
      <c r="AY420" s="1044"/>
      <c r="AZ420" s="1044"/>
      <c r="BA420" s="1044"/>
      <c r="BB420" s="1044"/>
      <c r="BC420" s="1044"/>
      <c r="BD420" s="1044"/>
      <c r="BE420" s="1044"/>
      <c r="BF420" s="1044"/>
      <c r="BG420" s="1044"/>
      <c r="BH420" s="1044"/>
      <c r="BI420" s="1044"/>
      <c r="BJ420" s="1044"/>
      <c r="BK420" s="1044"/>
      <c r="BL420" s="1044"/>
      <c r="BM420" s="1044"/>
      <c r="BN420" s="1044"/>
      <c r="BO420" s="1044"/>
      <c r="BP420" s="1044"/>
      <c r="BQ420" s="1044"/>
      <c r="BR420" s="1044"/>
      <c r="BS420" s="1044"/>
      <c r="BT420" s="1044"/>
      <c r="BU420" s="1044"/>
      <c r="BV420" s="1044"/>
      <c r="BW420" s="1044">
        <v>51.1</v>
      </c>
      <c r="BX420" s="1044">
        <v>55</v>
      </c>
      <c r="BY420" s="1054">
        <f t="shared" si="609"/>
        <v>30</v>
      </c>
      <c r="BZ420" s="1054">
        <f t="shared" si="610"/>
        <v>24.866666666666667</v>
      </c>
      <c r="CA420" s="1044">
        <v>17</v>
      </c>
      <c r="CB420" s="76">
        <f t="shared" si="598"/>
        <v>20377.128124999999</v>
      </c>
      <c r="CC420" s="208">
        <f t="shared" si="611"/>
        <v>367.96875</v>
      </c>
      <c r="CD420" s="208">
        <f t="shared" si="612"/>
        <v>15.33203125</v>
      </c>
      <c r="CE420" s="230">
        <f t="shared" si="617"/>
        <v>392.90745538303389</v>
      </c>
      <c r="CF420" s="1044"/>
      <c r="CG420" s="208">
        <f>CC420/(AVERAGE(BY420,BY421)*AVERAGE((D$387,D$416,D$400,D$414,D$402,D$407,D$409,D$393,D$395,D$388))*0.01)</f>
        <v>298.91613390630459</v>
      </c>
      <c r="CH420" s="855">
        <f t="shared" si="591"/>
        <v>0.49325569705093836</v>
      </c>
      <c r="CI420" s="1044"/>
      <c r="CJ420" s="1044"/>
      <c r="CK420" s="1044"/>
      <c r="CL420" s="1044"/>
      <c r="CM420" s="1044"/>
      <c r="CN420" s="1051"/>
    </row>
    <row r="421" spans="1:92" s="1045" customFormat="1">
      <c r="A421" s="1034">
        <f t="shared" si="585"/>
        <v>41576</v>
      </c>
      <c r="B421" s="1035">
        <v>0.33333333333333398</v>
      </c>
      <c r="C421" s="854">
        <f t="shared" si="618"/>
        <v>24</v>
      </c>
      <c r="D421" s="1044"/>
      <c r="E421" s="1044"/>
      <c r="F421" s="1044"/>
      <c r="G421" s="1044"/>
      <c r="H421" s="1044"/>
      <c r="I421" s="1044"/>
      <c r="J421" s="1044"/>
      <c r="K421" s="1044"/>
      <c r="L421" s="1044"/>
      <c r="M421" s="1044">
        <v>55</v>
      </c>
      <c r="N421" s="1044">
        <v>85</v>
      </c>
      <c r="O421" s="1044"/>
      <c r="P421" s="1044"/>
      <c r="Q421" s="1044"/>
      <c r="R421" s="1044"/>
      <c r="S421" s="1044"/>
      <c r="T421" s="1044"/>
      <c r="U421" s="1044"/>
      <c r="V421" s="1044"/>
      <c r="W421" s="1044"/>
      <c r="X421" s="1044"/>
      <c r="Y421" s="1044"/>
      <c r="Z421" s="1044"/>
      <c r="AA421" s="1044"/>
      <c r="AB421" s="1044"/>
      <c r="AC421" s="1044"/>
      <c r="AD421" s="1044"/>
      <c r="AE421" s="1044"/>
      <c r="AF421" s="1044"/>
      <c r="AG421" s="1044"/>
      <c r="AH421" s="1044"/>
      <c r="AI421" s="1044"/>
      <c r="AJ421" s="1044"/>
      <c r="AK421" s="1044"/>
      <c r="AL421" s="1044">
        <v>35.799999999999997</v>
      </c>
      <c r="AM421" s="1068">
        <v>105</v>
      </c>
      <c r="AN421" s="208">
        <f t="shared" ref="AN421:AN428" si="620">(AM421-AM420)*AQ$1/((C420)/24)</f>
        <v>58.320000000000007</v>
      </c>
      <c r="AO421" s="208">
        <f t="shared" ref="AO421:AO428" si="621">AQ$3/AN421</f>
        <v>24.228395061728392</v>
      </c>
      <c r="AP421" s="1068">
        <v>41</v>
      </c>
      <c r="AQ421" s="76">
        <f t="shared" si="619"/>
        <v>1931.1000000000001</v>
      </c>
      <c r="AR421" s="76">
        <f t="shared" ref="AR421:AR427" si="622">(AQ421-AQ420)/(C421/24)</f>
        <v>724.16250000000014</v>
      </c>
      <c r="AS421" s="230">
        <f t="shared" ref="AS421:AS427" si="623">(AQ421-AQ420)/C421</f>
        <v>30.173437500000006</v>
      </c>
      <c r="AT421" s="208">
        <f t="shared" si="616"/>
        <v>426.82510751438986</v>
      </c>
      <c r="AU421" s="1044"/>
      <c r="AV421" s="230">
        <f>AR421/(AVERAGE(AN422,AN421)*AVERAGE(D$387,D$416,D$400,D$414,D$402,D$407,D$409,D$393,D$395,D$388)*0.01)</f>
        <v>324.7200052947976</v>
      </c>
      <c r="AW421" s="855">
        <f t="shared" si="533"/>
        <v>0.51250000000000007</v>
      </c>
      <c r="AX421" s="1044"/>
      <c r="AY421" s="1044"/>
      <c r="AZ421" s="1044"/>
      <c r="BA421" s="1044"/>
      <c r="BB421" s="1044"/>
      <c r="BC421" s="1044"/>
      <c r="BD421" s="1044"/>
      <c r="BE421" s="1044"/>
      <c r="BF421" s="1044"/>
      <c r="BG421" s="1044"/>
      <c r="BH421" s="1044"/>
      <c r="BI421" s="1044"/>
      <c r="BJ421" s="1044"/>
      <c r="BK421" s="1044"/>
      <c r="BL421" s="1044"/>
      <c r="BM421" s="1044"/>
      <c r="BN421" s="1044"/>
      <c r="BO421" s="1044"/>
      <c r="BP421" s="1044"/>
      <c r="BQ421" s="1044"/>
      <c r="BR421" s="1044"/>
      <c r="BS421" s="1044"/>
      <c r="BT421" s="1044"/>
      <c r="BU421" s="1044"/>
      <c r="BV421" s="1044"/>
      <c r="BW421" s="1044">
        <v>51.1</v>
      </c>
      <c r="BX421" s="1044">
        <v>71</v>
      </c>
      <c r="BY421" s="1054">
        <f t="shared" ref="BY421:BY428" si="624">(BX421-BX420)*CB$1/((C421)/24)</f>
        <v>32</v>
      </c>
      <c r="BZ421" s="1054">
        <f t="shared" ref="BZ421:BZ428" si="625">CB$3/BY421</f>
        <v>23.3125</v>
      </c>
      <c r="CA421" s="1044">
        <v>24</v>
      </c>
      <c r="CB421" s="76">
        <f t="shared" ref="CB421:CB441" si="626">((CA421-CA$55)*CB$2)+CB$55</f>
        <v>20806.424999999999</v>
      </c>
      <c r="CC421" s="208">
        <f t="shared" ref="CC421:CC428" si="627">(CB421-CB420)/((C421/24))</f>
        <v>429.296875</v>
      </c>
      <c r="CD421" s="208">
        <f t="shared" ref="CD421:CD428" si="628">(CB421-CB420)/(C421)</f>
        <v>17.887369791666668</v>
      </c>
      <c r="CE421" s="230">
        <f t="shared" si="617"/>
        <v>430.61069605110282</v>
      </c>
      <c r="CF421" s="1044"/>
      <c r="CG421" s="208">
        <f>CC421/(AVERAGE(BY421,BY422)*AVERAGE((D$387,D$416,D$400,D$414,D$402,D$407,D$409,D$393,D$395,D$388))*0.01)</f>
        <v>327.60000534175805</v>
      </c>
      <c r="CH421" s="855">
        <f t="shared" si="591"/>
        <v>0.57546497989276135</v>
      </c>
      <c r="CI421" s="1044"/>
      <c r="CJ421" s="1044"/>
      <c r="CK421" s="1044"/>
      <c r="CL421" s="1044"/>
      <c r="CM421" s="1044"/>
      <c r="CN421" s="1044"/>
    </row>
    <row r="422" spans="1:92" s="1024" customFormat="1">
      <c r="A422" s="1036">
        <f t="shared" si="585"/>
        <v>41577</v>
      </c>
      <c r="B422" s="1037">
        <v>0.33333333333333398</v>
      </c>
      <c r="C422" s="847">
        <f t="shared" ref="C422:C435" si="629">((A422-A421)+(B422-B421))*24</f>
        <v>24</v>
      </c>
      <c r="D422" s="1046">
        <v>3.32</v>
      </c>
      <c r="E422" s="1046">
        <v>76.739999999999995</v>
      </c>
      <c r="F422" s="1023">
        <v>37700</v>
      </c>
      <c r="G422" s="1046">
        <v>6.48</v>
      </c>
      <c r="H422" s="1023"/>
      <c r="I422" s="1023">
        <v>3605</v>
      </c>
      <c r="J422" s="1023"/>
      <c r="K422" s="1023"/>
      <c r="L422" s="1023"/>
      <c r="M422" s="1023"/>
      <c r="N422" s="1023"/>
      <c r="O422" s="1023"/>
      <c r="P422" s="1023"/>
      <c r="Q422" s="1023"/>
      <c r="R422" s="1023"/>
      <c r="S422" s="1023"/>
      <c r="T422" s="1023"/>
      <c r="U422" s="1023"/>
      <c r="V422" s="1046">
        <v>2.39</v>
      </c>
      <c r="W422" s="1046">
        <v>66.930000000000007</v>
      </c>
      <c r="X422" s="1023">
        <v>25600</v>
      </c>
      <c r="Y422" s="1023"/>
      <c r="Z422" s="1023">
        <v>1336</v>
      </c>
      <c r="AA422" s="1023"/>
      <c r="AB422" s="1023"/>
      <c r="AC422" s="1023"/>
      <c r="AD422" s="1021">
        <f>D416*(100-E416)/(100-W422)</f>
        <v>2.6422739643181141</v>
      </c>
      <c r="AE422" s="1055">
        <f>D416-V422</f>
        <v>1.0099999999999998</v>
      </c>
      <c r="AF422" s="847">
        <f>100*(AVERAGE(D$422,D$416,D$400,D$414,D$402,D$407,D$409,D$393,D$395,D$388)-V422)/AVERAGE(D$422,D$416,D$400,D$414,D$402,D$407,D$409,D$393,D$395,D$388)</f>
        <v>37.483651582526797</v>
      </c>
      <c r="AG422" s="847">
        <f>100*(1-((100-AVERAGE(E$422,E$416,E$400,E$414,E$402,E$407,E$409,E$393,E$395,E$388))/(100-W422)))</f>
        <v>28.309646205019646</v>
      </c>
      <c r="AH422" s="1055">
        <f>E416-W422</f>
        <v>7.3699999999999903</v>
      </c>
      <c r="AI422" s="847">
        <f>100*(1-((V422*W422)/(AVERAGE(D$422,D$416,D$400,D$414,D$402,D$407,D$409,D$393,D$395,D$388)*AVERAGE(E$422,E$416,E$400,E$414,E$402,E$407,E$409,E$393,E$395,E$388))))</f>
        <v>45.155203696567384</v>
      </c>
      <c r="AJ422" s="847">
        <f>100*100*((AVERAGE(E$422,E$416,E$400,E$414,E$402,E$407,E$409,E$393,E$395,E$388)-W422)/((100-W422)*AVERAGE(E$422,E$416,E$400,E$414,E$402,E$407,E$409,E$393,E$395,E$388)))</f>
        <v>37.106965612409752</v>
      </c>
      <c r="AK422" s="1046">
        <v>7.2</v>
      </c>
      <c r="AL422" s="1046">
        <v>34.1</v>
      </c>
      <c r="AM422" s="1069">
        <v>130</v>
      </c>
      <c r="AN422" s="334">
        <f t="shared" si="620"/>
        <v>54</v>
      </c>
      <c r="AO422" s="334">
        <f t="shared" si="621"/>
        <v>26.166666666666668</v>
      </c>
      <c r="AP422" s="1069">
        <v>53</v>
      </c>
      <c r="AQ422" s="348">
        <f t="shared" si="619"/>
        <v>2655.2625000000003</v>
      </c>
      <c r="AR422" s="348">
        <f>(AQ422-AQ421)/(C422/24)</f>
        <v>724.16250000000014</v>
      </c>
      <c r="AS422" s="512">
        <f t="shared" si="623"/>
        <v>30.173437500000006</v>
      </c>
      <c r="AT422" s="334">
        <f>AR422/(AVERAGE(AN422,AN423)*(AVERAGE(D$422,D$416,D$400,D$414,D$402,D$407,D$409,D$393,D$395,D$388))*AVERAGE(E$422,E$416,E$400,E$414,E$402,E$407,E$409,E$393,E$395,E$388)*0.0001)</f>
        <v>417.99038175063833</v>
      </c>
      <c r="AU422" s="334">
        <f>(AQ422-AQ418)/(AVERAGE(AN418:AN422)*((AVERAGE(D$422,D$416,D$400,D$414,D$402,D$407,D$409,D$393,D$395,D$388)*AVERAGE(E$422,E$416,E$400,E$414,E$402,E$407,E$409,E$393,E$395,E$388))-(V422*W422))*0.0001*(SUM(C418:C422)/24))</f>
        <v>516.49975697340597</v>
      </c>
      <c r="AV422" s="512">
        <f>AR422/(AVERAGE(AN423,AN422)*AVERAGE(D$422,D$416,D$400,D$414,D$402,D$407,D$409,D$393,D$395,D$388)*0.01)</f>
        <v>318.89322204519698</v>
      </c>
      <c r="AW422" s="848">
        <f t="shared" si="533"/>
        <v>0.51250000000000007</v>
      </c>
      <c r="AX422" s="1023">
        <v>69</v>
      </c>
      <c r="AY422" s="1023">
        <v>30.9</v>
      </c>
      <c r="AZ422" s="1023">
        <v>0</v>
      </c>
      <c r="BA422" s="1023">
        <v>10</v>
      </c>
      <c r="BB422" s="1023">
        <v>60</v>
      </c>
      <c r="BC422" s="1023"/>
      <c r="BD422" s="1023"/>
      <c r="BE422" s="1023"/>
      <c r="BF422" s="1023"/>
      <c r="BG422" s="1046">
        <v>2.5299999999999998</v>
      </c>
      <c r="BH422" s="1046">
        <v>62.37</v>
      </c>
      <c r="BI422" s="1023">
        <v>22300</v>
      </c>
      <c r="BJ422" s="1023"/>
      <c r="BK422" s="1023">
        <v>2479</v>
      </c>
      <c r="BL422" s="1023"/>
      <c r="BM422" s="1023"/>
      <c r="BN422" s="1023"/>
      <c r="BO422" s="847">
        <f>D416*(100-E416)/(100-BH422)</f>
        <v>2.3220834440605902</v>
      </c>
      <c r="BP422" s="1055">
        <f>D416-BG422</f>
        <v>0.87000000000000011</v>
      </c>
      <c r="BQ422" s="1056">
        <f>100*(AVERAGE(D$422,D$416,D$400,D$414,D$402,D$407,D$409,D$393,D$395,D$388)-BG422)/AVERAGE(D$422,D$416,D$400,D$414,D$402,D$407,D$409,D$393,D$395,D$388)</f>
        <v>33.821606068532567</v>
      </c>
      <c r="BR422" s="1056">
        <f>100*(1-((100-AVERAGE(E$422,E$416,E$400,E$414,E$402,E$407,E$409,E$393,E$395,E$388))/(100-BH422)))</f>
        <v>36.997076800425198</v>
      </c>
      <c r="BS422" s="1055">
        <f>E416-BH422</f>
        <v>11.93</v>
      </c>
      <c r="BT422" s="1055">
        <f>100*(1-((BG422*BH422)/(AVERAGE(D$422,D$416,D$400,D$414,D$402,D$407,D$409,D$393,D$395,D$388)*AVERAGE(E$422,E$416,E$400,E$414,E$402,E$407,E$409,E$393,E$395,E$388))))</f>
        <v>45.898043969149803</v>
      </c>
      <c r="BU422" s="847">
        <f>100*100*((AVERAGE(E$422,E$416,E$400,E$414,E$402,E$407,E$409,E$393,E$395,E$388)-BH422)/((100-BH422)*AVERAGE(E$422,E$416,E$400,E$414,E$402,E$407,E$409,E$393,E$395,E$388)))</f>
        <v>48.49404498561475</v>
      </c>
      <c r="BV422" s="1046">
        <v>7.3</v>
      </c>
      <c r="BW422" s="1046">
        <v>48.4</v>
      </c>
      <c r="BX422" s="1053">
        <v>88</v>
      </c>
      <c r="BY422" s="1056">
        <f t="shared" si="624"/>
        <v>34</v>
      </c>
      <c r="BZ422" s="1056">
        <f t="shared" si="625"/>
        <v>21.941176470588236</v>
      </c>
      <c r="CA422" s="1053">
        <v>32</v>
      </c>
      <c r="CB422" s="348">
        <f t="shared" si="626"/>
        <v>21297.05</v>
      </c>
      <c r="CC422" s="334">
        <f t="shared" si="627"/>
        <v>490.625</v>
      </c>
      <c r="CD422" s="334">
        <f t="shared" si="628"/>
        <v>20.442708333333332</v>
      </c>
      <c r="CE422" s="512">
        <f>CC422/(AVERAGE(BY423,BY422)*(AVERAGE(D$422,D$416,D$400,D$414,D$402,D$407,D$409,D$393,D$395,D$388))*AVERAGE(E$422,E$416,E$400,E$414,E$402,E$407,E$409,E$393,E$395,E$388)*0.0001)</f>
        <v>509.74436798858329</v>
      </c>
      <c r="CF422" s="334">
        <f>(CB422-CB418)/(AVERAGE(BY418:BY422)*((AVERAGE(D$422,D$416,D$400,D$414,D$402,D$407,D$409,D$393,D$395,D$388)*AVERAGE(E$422,E$416,E$400,E$414,E$402,E$407,E$409,E$393,E$395,E$388))-(BG422*BH422))*0.0001*(SUM(C418:C422)/24))</f>
        <v>761.18918669640323</v>
      </c>
      <c r="CG422" s="334">
        <f>CC422/(AVERAGE(BY422,BY423)*AVERAGE((D$422,D$416,D$400,D$414,D$402,D$407,D$409,D$393,D$395,D$388))*0.01)</f>
        <v>388.89417322585001</v>
      </c>
      <c r="CH422" s="848">
        <f t="shared" si="591"/>
        <v>0.6576742627345844</v>
      </c>
      <c r="CI422" s="1023">
        <v>67.900000000000006</v>
      </c>
      <c r="CJ422" s="1023">
        <v>32</v>
      </c>
      <c r="CK422" s="1023">
        <v>0</v>
      </c>
      <c r="CL422" s="1023">
        <v>39</v>
      </c>
      <c r="CM422" s="1023">
        <v>185</v>
      </c>
      <c r="CN422" s="1023"/>
    </row>
    <row r="423" spans="1:92" s="1045" customFormat="1">
      <c r="A423" s="1034">
        <f t="shared" si="585"/>
        <v>41578</v>
      </c>
      <c r="B423" s="1035">
        <v>0.33333333333333398</v>
      </c>
      <c r="C423" s="854">
        <f t="shared" si="629"/>
        <v>24</v>
      </c>
      <c r="D423" s="1044"/>
      <c r="E423" s="1044"/>
      <c r="F423" s="1044"/>
      <c r="G423" s="1044"/>
      <c r="H423" s="1044"/>
      <c r="I423" s="1044"/>
      <c r="J423" s="1044"/>
      <c r="K423" s="1044"/>
      <c r="L423" s="1044"/>
      <c r="M423" s="1044">
        <v>55</v>
      </c>
      <c r="N423" s="1044">
        <v>85</v>
      </c>
      <c r="O423" s="1044"/>
      <c r="P423" s="1044"/>
      <c r="Q423" s="1044"/>
      <c r="R423" s="1044"/>
      <c r="S423" s="1044"/>
      <c r="T423" s="1044"/>
      <c r="U423" s="1044"/>
      <c r="V423" s="1044"/>
      <c r="W423" s="1044"/>
      <c r="X423" s="1044"/>
      <c r="Y423" s="1044"/>
      <c r="Z423" s="1044"/>
      <c r="AA423" s="1044"/>
      <c r="AB423" s="1044"/>
      <c r="AC423" s="1044"/>
      <c r="AD423" s="1044"/>
      <c r="AE423" s="1044"/>
      <c r="AF423" s="1044"/>
      <c r="AG423" s="1044"/>
      <c r="AH423" s="1044"/>
      <c r="AI423" s="1044"/>
      <c r="AJ423" s="1044"/>
      <c r="AK423" s="1044"/>
      <c r="AL423" s="1044">
        <v>35.1</v>
      </c>
      <c r="AM423" s="1068">
        <v>160</v>
      </c>
      <c r="AN423" s="208">
        <f t="shared" si="620"/>
        <v>64.800000000000011</v>
      </c>
      <c r="AO423" s="208">
        <f t="shared" si="621"/>
        <v>21.80555555555555</v>
      </c>
      <c r="AP423" s="1068">
        <v>66</v>
      </c>
      <c r="AQ423" s="76">
        <f t="shared" si="619"/>
        <v>3439.7718750000004</v>
      </c>
      <c r="AR423" s="76">
        <f t="shared" si="622"/>
        <v>784.50937500000009</v>
      </c>
      <c r="AS423" s="230">
        <f t="shared" si="623"/>
        <v>32.687890625000001</v>
      </c>
      <c r="AT423" s="208">
        <f t="shared" ref="AT423:AT427" si="630">AR423/(AVERAGE(AN423,AN424)*(AVERAGE(D$422,D$416,D$400,D$414,D$402,D$407,D$409,D$393,D$395,D$388))*AVERAGE(E$422,E$416,E$400,E$414,E$402,E$407,E$409,E$393,E$395,E$388)*0.0001)</f>
        <v>422.12305501653441</v>
      </c>
      <c r="AU423" s="1058"/>
      <c r="AV423" s="230">
        <f t="shared" ref="AV423:AV427" si="631">AR423/(AVERAGE(AN424,AN423)*AVERAGE(D$422,D$416,D$400,D$414,D$402,D$407,D$409,D$393,D$395,D$388)*0.01)</f>
        <v>322.04612113321451</v>
      </c>
      <c r="AW423" s="855">
        <f t="shared" si="533"/>
        <v>0.55520833333333341</v>
      </c>
      <c r="AX423" s="1044"/>
      <c r="AY423" s="1044"/>
      <c r="AZ423" s="1044"/>
      <c r="BA423" s="1044"/>
      <c r="BB423" s="1044"/>
      <c r="BC423" s="1044"/>
      <c r="BD423" s="1044"/>
      <c r="BE423" s="1044"/>
      <c r="BF423" s="1044"/>
      <c r="BG423" s="1044"/>
      <c r="BH423" s="1044"/>
      <c r="BI423" s="1044"/>
      <c r="BJ423" s="1044"/>
      <c r="BK423" s="1044"/>
      <c r="BL423" s="1044"/>
      <c r="BM423" s="1044"/>
      <c r="BN423" s="1044"/>
      <c r="BO423" s="1044"/>
      <c r="BP423" s="1044"/>
      <c r="BQ423" s="1044"/>
      <c r="BR423" s="1044"/>
      <c r="BS423" s="1044"/>
      <c r="BT423" s="1044"/>
      <c r="BU423" s="1044"/>
      <c r="BV423" s="1044"/>
      <c r="BW423" s="1044">
        <v>50.4</v>
      </c>
      <c r="BX423" s="1044">
        <v>104</v>
      </c>
      <c r="BY423" s="1054">
        <f t="shared" si="624"/>
        <v>32</v>
      </c>
      <c r="BZ423" s="1054">
        <f t="shared" si="625"/>
        <v>23.3125</v>
      </c>
      <c r="CA423" s="1044">
        <v>39</v>
      </c>
      <c r="CB423" s="76">
        <f t="shared" si="626"/>
        <v>21726.346874999999</v>
      </c>
      <c r="CC423" s="208">
        <f t="shared" si="627"/>
        <v>429.296875</v>
      </c>
      <c r="CD423" s="208">
        <f t="shared" si="628"/>
        <v>17.887369791666668</v>
      </c>
      <c r="CE423" s="230">
        <f t="shared" ref="CE423:CE427" si="632">CC423/(AVERAGE(BY424,BY423)*(AVERAGE(D$422,D$416,D$400,D$414,D$402,D$407,D$409,D$393,D$395,D$388))*AVERAGE(E$422,E$416,E$400,E$414,E$402,E$407,E$409,E$393,E$395,E$388)*0.0001)</f>
        <v>566.11033175655166</v>
      </c>
      <c r="CF423" s="1058"/>
      <c r="CG423" s="208">
        <f>CC423/(AVERAGE(BY423,BY424)*AVERAGE((D$422,D$416,D$400,D$414,D$402,D$407,D$409,D$393,D$395,D$388))*0.01)</f>
        <v>431.89689430370839</v>
      </c>
      <c r="CH423" s="855">
        <f t="shared" si="591"/>
        <v>0.57546497989276135</v>
      </c>
      <c r="CI423" s="1044"/>
      <c r="CJ423" s="1044"/>
      <c r="CK423" s="1044"/>
      <c r="CL423" s="1044"/>
      <c r="CM423" s="1044"/>
      <c r="CN423" s="1044"/>
    </row>
    <row r="424" spans="1:92" s="1045" customFormat="1">
      <c r="A424" s="1034">
        <f t="shared" si="585"/>
        <v>41579</v>
      </c>
      <c r="B424" s="1035">
        <v>0.33333333333333398</v>
      </c>
      <c r="C424" s="854">
        <f t="shared" si="629"/>
        <v>24</v>
      </c>
      <c r="D424" s="1044"/>
      <c r="E424" s="1044"/>
      <c r="F424" s="1044"/>
      <c r="G424" s="1044"/>
      <c r="H424" s="1044"/>
      <c r="I424" s="1044"/>
      <c r="J424" s="1044"/>
      <c r="K424" s="1044"/>
      <c r="L424" s="1044"/>
      <c r="M424" s="1044"/>
      <c r="N424" s="1044"/>
      <c r="O424" s="1044"/>
      <c r="P424" s="1044"/>
      <c r="Q424" s="1044"/>
      <c r="R424" s="1044"/>
      <c r="S424" s="1044"/>
      <c r="T424" s="1044"/>
      <c r="U424" s="1044"/>
      <c r="V424" s="1044"/>
      <c r="W424" s="1044"/>
      <c r="X424" s="1044"/>
      <c r="Y424" s="1044"/>
      <c r="Z424" s="1044"/>
      <c r="AA424" s="1044"/>
      <c r="AB424" s="1044"/>
      <c r="AC424" s="1044"/>
      <c r="AD424" s="1044"/>
      <c r="AE424" s="1044"/>
      <c r="AF424" s="1044"/>
      <c r="AG424" s="1044"/>
      <c r="AH424" s="1044"/>
      <c r="AI424" s="1044"/>
      <c r="AJ424" s="1044"/>
      <c r="AK424" s="1044"/>
      <c r="AL424" s="1044">
        <v>35.1</v>
      </c>
      <c r="AM424" s="1068">
        <v>189</v>
      </c>
      <c r="AN424" s="208">
        <f t="shared" si="620"/>
        <v>62.64</v>
      </c>
      <c r="AO424" s="208">
        <f t="shared" si="621"/>
        <v>22.557471264367816</v>
      </c>
      <c r="AP424" s="1068">
        <v>79</v>
      </c>
      <c r="AQ424" s="76">
        <f t="shared" si="619"/>
        <v>4224.28125</v>
      </c>
      <c r="AR424" s="76">
        <f t="shared" si="622"/>
        <v>784.50937499999964</v>
      </c>
      <c r="AS424" s="230">
        <f t="shared" si="623"/>
        <v>32.687890624999987</v>
      </c>
      <c r="AT424" s="208">
        <f t="shared" si="630"/>
        <v>478.94731242260605</v>
      </c>
      <c r="AU424" s="1058"/>
      <c r="AV424" s="230">
        <f t="shared" si="631"/>
        <v>365.39848359345461</v>
      </c>
      <c r="AW424" s="855">
        <f t="shared" si="533"/>
        <v>0.55520833333333308</v>
      </c>
      <c r="AX424" s="1044"/>
      <c r="AY424" s="1044"/>
      <c r="AZ424" s="1044"/>
      <c r="BA424" s="1044"/>
      <c r="BB424" s="1044"/>
      <c r="BC424" s="1044"/>
      <c r="BD424" s="1044"/>
      <c r="BE424" s="1044"/>
      <c r="BF424" s="1044"/>
      <c r="BG424" s="1044"/>
      <c r="BH424" s="1044"/>
      <c r="BI424" s="1044"/>
      <c r="BJ424" s="1044"/>
      <c r="BK424" s="1044"/>
      <c r="BL424" s="1044"/>
      <c r="BM424" s="1044"/>
      <c r="BN424" s="1044"/>
      <c r="BO424" s="1044"/>
      <c r="BP424" s="1044"/>
      <c r="BQ424" s="1044"/>
      <c r="BR424" s="1044"/>
      <c r="BS424" s="1044"/>
      <c r="BT424" s="1044"/>
      <c r="BU424" s="1044"/>
      <c r="BV424" s="1044"/>
      <c r="BW424" s="1044">
        <v>50.5</v>
      </c>
      <c r="BX424" s="1044">
        <v>114</v>
      </c>
      <c r="BY424" s="1054">
        <f t="shared" si="624"/>
        <v>20</v>
      </c>
      <c r="BZ424" s="1054">
        <f t="shared" si="625"/>
        <v>37.299999999999997</v>
      </c>
      <c r="CA424" s="1044">
        <v>46</v>
      </c>
      <c r="CB424" s="76">
        <f t="shared" si="626"/>
        <v>22155.643749999999</v>
      </c>
      <c r="CC424" s="208">
        <f t="shared" si="627"/>
        <v>429.296875</v>
      </c>
      <c r="CD424" s="208">
        <f t="shared" si="628"/>
        <v>17.887369791666668</v>
      </c>
      <c r="CE424" s="230">
        <f t="shared" si="632"/>
        <v>566.11033175655166</v>
      </c>
      <c r="CF424" s="1058"/>
      <c r="CG424" s="208">
        <f>CC424/(AVERAGE(BY424,BY425)*AVERAGE((D$422,D$416,D$400,D$414,D$402,D$407,D$409,D$393,D$395,D$388))*0.01)</f>
        <v>431.89689430370839</v>
      </c>
      <c r="CH424" s="855">
        <f t="shared" si="591"/>
        <v>0.57546497989276135</v>
      </c>
      <c r="CI424" s="1044"/>
      <c r="CJ424" s="1044"/>
      <c r="CK424" s="1044"/>
      <c r="CL424" s="1044"/>
      <c r="CM424" s="1044"/>
      <c r="CN424" s="1044"/>
    </row>
    <row r="425" spans="1:92" s="1045" customFormat="1">
      <c r="A425" s="1034">
        <f t="shared" si="585"/>
        <v>41580</v>
      </c>
      <c r="B425" s="1035">
        <v>0.33333333333333398</v>
      </c>
      <c r="C425" s="854">
        <f t="shared" si="629"/>
        <v>24</v>
      </c>
      <c r="D425" s="1044"/>
      <c r="E425" s="1044"/>
      <c r="F425" s="1044"/>
      <c r="G425" s="1044"/>
      <c r="H425" s="1044"/>
      <c r="I425" s="1044"/>
      <c r="J425" s="1044"/>
      <c r="K425" s="1044"/>
      <c r="L425" s="1044"/>
      <c r="M425" s="1044"/>
      <c r="N425" s="1044"/>
      <c r="O425" s="1044"/>
      <c r="P425" s="1044"/>
      <c r="Q425" s="1044"/>
      <c r="R425" s="1044"/>
      <c r="S425" s="1044"/>
      <c r="T425" s="1044"/>
      <c r="U425" s="1044"/>
      <c r="V425" s="1044"/>
      <c r="W425" s="1044"/>
      <c r="X425" s="1044"/>
      <c r="Y425" s="1044"/>
      <c r="Z425" s="1044"/>
      <c r="AA425" s="1044"/>
      <c r="AB425" s="1044"/>
      <c r="AC425" s="1044"/>
      <c r="AD425" s="1044"/>
      <c r="AE425" s="1044"/>
      <c r="AF425" s="1044"/>
      <c r="AG425" s="1044"/>
      <c r="AH425" s="1044"/>
      <c r="AI425" s="1044"/>
      <c r="AJ425" s="1044"/>
      <c r="AK425" s="1044"/>
      <c r="AL425" s="1044">
        <v>35.200000000000003</v>
      </c>
      <c r="AM425" s="1068">
        <v>212</v>
      </c>
      <c r="AN425" s="208">
        <f t="shared" si="620"/>
        <v>49.680000000000007</v>
      </c>
      <c r="AO425" s="208">
        <f t="shared" si="621"/>
        <v>28.442028985507243</v>
      </c>
      <c r="AP425" s="1068">
        <v>91</v>
      </c>
      <c r="AQ425" s="76">
        <f t="shared" si="619"/>
        <v>4948.4437500000004</v>
      </c>
      <c r="AR425" s="76">
        <f t="shared" si="622"/>
        <v>724.16250000000036</v>
      </c>
      <c r="AS425" s="230">
        <f t="shared" si="623"/>
        <v>30.173437500000016</v>
      </c>
      <c r="AT425" s="208">
        <f t="shared" si="630"/>
        <v>450.77394110362968</v>
      </c>
      <c r="AU425" s="1058"/>
      <c r="AV425" s="230">
        <f t="shared" si="631"/>
        <v>343.90445514678117</v>
      </c>
      <c r="AW425" s="855">
        <f t="shared" si="533"/>
        <v>0.51250000000000029</v>
      </c>
      <c r="AX425" s="1044"/>
      <c r="AY425" s="1044"/>
      <c r="AZ425" s="1044"/>
      <c r="BA425" s="1044"/>
      <c r="BB425" s="1044"/>
      <c r="BC425" s="1044" t="s">
        <v>170</v>
      </c>
      <c r="BD425" s="1044"/>
      <c r="BE425" s="1044"/>
      <c r="BF425" s="1044"/>
      <c r="BG425" s="1044"/>
      <c r="BH425" s="1044"/>
      <c r="BI425" s="1044"/>
      <c r="BJ425" s="1044"/>
      <c r="BK425" s="1044"/>
      <c r="BL425" s="1044"/>
      <c r="BM425" s="1044"/>
      <c r="BN425" s="1044"/>
      <c r="BO425" s="1044"/>
      <c r="BP425" s="1044"/>
      <c r="BQ425" s="1044"/>
      <c r="BR425" s="1044"/>
      <c r="BS425" s="1044"/>
      <c r="BT425" s="1044"/>
      <c r="BU425" s="1044"/>
      <c r="BV425" s="1044"/>
      <c r="BW425" s="1044">
        <v>50.4</v>
      </c>
      <c r="BX425" s="1044">
        <v>130</v>
      </c>
      <c r="BY425" s="1054">
        <f t="shared" si="624"/>
        <v>32</v>
      </c>
      <c r="BZ425" s="1054">
        <f t="shared" si="625"/>
        <v>23.3125</v>
      </c>
      <c r="CA425" s="1044">
        <v>52</v>
      </c>
      <c r="CB425" s="76">
        <f t="shared" si="626"/>
        <v>22523.612499999999</v>
      </c>
      <c r="CC425" s="208">
        <f t="shared" si="627"/>
        <v>367.96875</v>
      </c>
      <c r="CD425" s="208">
        <f t="shared" si="628"/>
        <v>15.33203125</v>
      </c>
      <c r="CE425" s="230">
        <f t="shared" si="632"/>
        <v>350.449252992151</v>
      </c>
      <c r="CF425" s="1058"/>
      <c r="CG425" s="208">
        <f>CC425/(AVERAGE(BY425,BY426)*AVERAGE((D$422,D$416,D$400,D$414,D$402,D$407,D$409,D$393,D$395,D$388))*0.01)</f>
        <v>267.36474409277184</v>
      </c>
      <c r="CH425" s="855">
        <f t="shared" si="591"/>
        <v>0.49325569705093836</v>
      </c>
      <c r="CI425" s="1044"/>
      <c r="CJ425" s="1044"/>
      <c r="CK425" s="1044"/>
      <c r="CL425" s="1044"/>
      <c r="CM425" s="1044"/>
      <c r="CN425" s="1042" t="s">
        <v>170</v>
      </c>
    </row>
    <row r="426" spans="1:92" s="1045" customFormat="1">
      <c r="A426" s="1034">
        <f t="shared" si="585"/>
        <v>41581</v>
      </c>
      <c r="B426" s="1035">
        <v>0.33333333333333398</v>
      </c>
      <c r="C426" s="854">
        <f t="shared" si="629"/>
        <v>24</v>
      </c>
      <c r="D426" s="1044"/>
      <c r="E426" s="1044"/>
      <c r="F426" s="1044"/>
      <c r="G426" s="1044"/>
      <c r="H426" s="1044"/>
      <c r="I426" s="1044"/>
      <c r="J426" s="1044"/>
      <c r="K426" s="1044"/>
      <c r="L426" s="1044"/>
      <c r="M426" s="1044">
        <v>55</v>
      </c>
      <c r="N426" s="1044">
        <v>85</v>
      </c>
      <c r="O426" s="1044"/>
      <c r="P426" s="1044"/>
      <c r="Q426" s="1044"/>
      <c r="R426" s="1044"/>
      <c r="S426" s="1044"/>
      <c r="T426" s="1044"/>
      <c r="U426" s="1044"/>
      <c r="V426" s="1044"/>
      <c r="W426" s="1044"/>
      <c r="X426" s="1044"/>
      <c r="Y426" s="1044"/>
      <c r="Z426" s="1044"/>
      <c r="AA426" s="1044"/>
      <c r="AB426" s="1044"/>
      <c r="AC426" s="1044"/>
      <c r="AD426" s="1044"/>
      <c r="AE426" s="1044"/>
      <c r="AF426" s="1044"/>
      <c r="AG426" s="1044"/>
      <c r="AH426" s="1044"/>
      <c r="AI426" s="1044"/>
      <c r="AJ426" s="1044"/>
      <c r="AK426" s="1044"/>
      <c r="AL426" s="1044">
        <v>35.1</v>
      </c>
      <c r="AM426" s="1068">
        <v>240</v>
      </c>
      <c r="AN426" s="208">
        <f t="shared" si="620"/>
        <v>60.480000000000004</v>
      </c>
      <c r="AO426" s="208">
        <f t="shared" si="621"/>
        <v>23.363095238095237</v>
      </c>
      <c r="AP426" s="1068">
        <v>103</v>
      </c>
      <c r="AQ426" s="76">
        <f t="shared" si="619"/>
        <v>5672.6062500000007</v>
      </c>
      <c r="AR426" s="76">
        <f t="shared" si="622"/>
        <v>724.16250000000036</v>
      </c>
      <c r="AS426" s="230">
        <f t="shared" si="623"/>
        <v>30.173437500000016</v>
      </c>
      <c r="AT426" s="208">
        <f t="shared" si="630"/>
        <v>403.3240525664055</v>
      </c>
      <c r="AU426" s="1058"/>
      <c r="AV426" s="230">
        <f t="shared" si="631"/>
        <v>307.70398618396217</v>
      </c>
      <c r="AW426" s="855">
        <f t="shared" si="533"/>
        <v>0.51250000000000029</v>
      </c>
      <c r="AX426" s="1044"/>
      <c r="AY426" s="1044"/>
      <c r="AZ426" s="1044"/>
      <c r="BA426" s="1044"/>
      <c r="BB426" s="1044"/>
      <c r="BC426" s="1044"/>
      <c r="BD426" s="1044"/>
      <c r="BE426" s="1044"/>
      <c r="BF426" s="1044"/>
      <c r="BG426" s="1044"/>
      <c r="BH426" s="1044"/>
      <c r="BI426" s="1044"/>
      <c r="BJ426" s="1044"/>
      <c r="BK426" s="1044"/>
      <c r="BL426" s="1044"/>
      <c r="BM426" s="1044"/>
      <c r="BN426" s="1044"/>
      <c r="BO426" s="1044"/>
      <c r="BP426" s="1044"/>
      <c r="BQ426" s="1044"/>
      <c r="BR426" s="1044"/>
      <c r="BS426" s="1044"/>
      <c r="BT426" s="1044"/>
      <c r="BU426" s="1044"/>
      <c r="BV426" s="1044"/>
      <c r="BW426" s="1044">
        <v>50.5</v>
      </c>
      <c r="BX426" s="1044">
        <v>150</v>
      </c>
      <c r="BY426" s="1054">
        <f t="shared" si="624"/>
        <v>40</v>
      </c>
      <c r="BZ426" s="1054">
        <f t="shared" si="625"/>
        <v>18.649999999999999</v>
      </c>
      <c r="CA426" s="1044">
        <v>61</v>
      </c>
      <c r="CB426" s="76">
        <f t="shared" si="626"/>
        <v>23075.565624999999</v>
      </c>
      <c r="CC426" s="208">
        <f t="shared" si="627"/>
        <v>551.953125</v>
      </c>
      <c r="CD426" s="208">
        <f t="shared" si="628"/>
        <v>22.998046875</v>
      </c>
      <c r="CE426" s="230">
        <f t="shared" si="632"/>
        <v>511.46647733989602</v>
      </c>
      <c r="CF426" s="1058"/>
      <c r="CG426" s="208">
        <f>CC426/(AVERAGE(BY426,BY427)*AVERAGE((D$422,D$416,D$400,D$414,D$402,D$407,D$409,D$393,D$395,D$388))*0.01)</f>
        <v>390.2080048921535</v>
      </c>
      <c r="CH426" s="855">
        <f t="shared" si="591"/>
        <v>0.73988354557640745</v>
      </c>
      <c r="CI426" s="1044"/>
      <c r="CJ426" s="1044"/>
      <c r="CK426" s="1044"/>
      <c r="CL426" s="1044"/>
      <c r="CM426" s="1044"/>
      <c r="CN426" s="1044"/>
    </row>
    <row r="427" spans="1:92" s="1045" customFormat="1">
      <c r="A427" s="1034">
        <f t="shared" si="585"/>
        <v>41582</v>
      </c>
      <c r="B427" s="1035">
        <v>0.33333333333333398</v>
      </c>
      <c r="C427" s="854">
        <f t="shared" si="629"/>
        <v>24</v>
      </c>
      <c r="D427" s="1044"/>
      <c r="E427" s="1044"/>
      <c r="F427" s="1044"/>
      <c r="G427" s="1044"/>
      <c r="H427" s="1044"/>
      <c r="I427" s="1044"/>
      <c r="J427" s="1044"/>
      <c r="K427" s="1044"/>
      <c r="L427" s="1044"/>
      <c r="M427" s="1044"/>
      <c r="N427" s="1044"/>
      <c r="O427" s="1044"/>
      <c r="P427" s="1044"/>
      <c r="Q427" s="1044"/>
      <c r="R427" s="1044"/>
      <c r="S427" s="1044"/>
      <c r="T427" s="1044"/>
      <c r="U427" s="1044"/>
      <c r="V427" s="1044"/>
      <c r="W427" s="1044"/>
      <c r="X427" s="1044"/>
      <c r="Y427" s="1044"/>
      <c r="Z427" s="1044"/>
      <c r="AA427" s="1044"/>
      <c r="AB427" s="1044"/>
      <c r="AC427" s="1044"/>
      <c r="AD427" s="1044"/>
      <c r="AE427" s="1044"/>
      <c r="AF427" s="1044"/>
      <c r="AG427" s="1044"/>
      <c r="AH427" s="1044"/>
      <c r="AI427" s="1044"/>
      <c r="AJ427" s="1044"/>
      <c r="AK427" s="1044"/>
      <c r="AL427" s="1044">
        <v>35.200000000000003</v>
      </c>
      <c r="AM427" s="1068">
        <v>269</v>
      </c>
      <c r="AN427" s="208">
        <f t="shared" si="620"/>
        <v>62.64</v>
      </c>
      <c r="AO427" s="208">
        <f t="shared" si="621"/>
        <v>22.557471264367816</v>
      </c>
      <c r="AP427" s="1068">
        <v>116</v>
      </c>
      <c r="AQ427" s="76">
        <f t="shared" si="619"/>
        <v>6457.1156250000004</v>
      </c>
      <c r="AR427" s="76">
        <f t="shared" si="622"/>
        <v>784.50937499999964</v>
      </c>
      <c r="AS427" s="230">
        <f t="shared" si="623"/>
        <v>32.687890624999987</v>
      </c>
      <c r="AT427" s="208">
        <f t="shared" si="630"/>
        <v>436.93439028027223</v>
      </c>
      <c r="AU427" s="1058"/>
      <c r="AV427" s="230">
        <f t="shared" si="631"/>
        <v>333.34598503262532</v>
      </c>
      <c r="AW427" s="855">
        <f t="shared" si="533"/>
        <v>0.55520833333333308</v>
      </c>
      <c r="AX427" s="1044"/>
      <c r="AY427" s="1044"/>
      <c r="AZ427" s="1044"/>
      <c r="BA427" s="1044"/>
      <c r="BB427" s="1044"/>
      <c r="BC427" s="1044"/>
      <c r="BD427" s="1044"/>
      <c r="BE427" s="1044"/>
      <c r="BF427" s="1044"/>
      <c r="BG427" s="1044"/>
      <c r="BH427" s="1044"/>
      <c r="BI427" s="1044"/>
      <c r="BJ427" s="1044"/>
      <c r="BK427" s="1044"/>
      <c r="BL427" s="1044"/>
      <c r="BM427" s="1044"/>
      <c r="BN427" s="1044"/>
      <c r="BO427" s="1044"/>
      <c r="BP427" s="1044"/>
      <c r="BQ427" s="1044"/>
      <c r="BR427" s="1044"/>
      <c r="BS427" s="1044"/>
      <c r="BT427" s="1044"/>
      <c r="BU427" s="1044"/>
      <c r="BV427" s="1044"/>
      <c r="BW427" s="1044">
        <v>50.5</v>
      </c>
      <c r="BX427" s="1044">
        <v>167</v>
      </c>
      <c r="BY427" s="1054">
        <f t="shared" si="624"/>
        <v>34</v>
      </c>
      <c r="BZ427" s="1054">
        <f t="shared" si="625"/>
        <v>21.941176470588236</v>
      </c>
      <c r="CA427" s="1044">
        <v>68</v>
      </c>
      <c r="CB427" s="76">
        <f t="shared" si="626"/>
        <v>23504.862499999999</v>
      </c>
      <c r="CC427" s="208">
        <f t="shared" si="627"/>
        <v>429.296875</v>
      </c>
      <c r="CD427" s="208">
        <f t="shared" si="628"/>
        <v>17.887369791666668</v>
      </c>
      <c r="CE427" s="230">
        <f t="shared" si="632"/>
        <v>446.02632199001039</v>
      </c>
      <c r="CF427" s="1058"/>
      <c r="CG427" s="208">
        <f>CC427/(AVERAGE(BY427,BY428)*AVERAGE((D$422,D$416,D$400,D$414,D$402,D$407,D$409,D$393,D$395,D$388))*0.01)</f>
        <v>340.28240157261877</v>
      </c>
      <c r="CH427" s="855">
        <f t="shared" si="591"/>
        <v>0.57546497989276135</v>
      </c>
      <c r="CI427" s="1044"/>
      <c r="CJ427" s="1044"/>
      <c r="CK427" s="1044"/>
      <c r="CL427" s="1044"/>
      <c r="CM427" s="1044"/>
      <c r="CN427" s="1044"/>
    </row>
    <row r="428" spans="1:92" s="1024" customFormat="1">
      <c r="A428" s="1036">
        <f t="shared" si="585"/>
        <v>41583</v>
      </c>
      <c r="B428" s="1037">
        <v>0.33333333333333398</v>
      </c>
      <c r="C428" s="847">
        <f t="shared" si="629"/>
        <v>24</v>
      </c>
      <c r="D428" s="1046">
        <v>2.91</v>
      </c>
      <c r="E428" s="1046">
        <v>73.23</v>
      </c>
      <c r="F428" s="1023"/>
      <c r="G428" s="1046">
        <v>7.15</v>
      </c>
      <c r="H428" s="1023"/>
      <c r="I428" s="1023"/>
      <c r="J428" s="1023"/>
      <c r="K428" s="1023"/>
      <c r="L428" s="1023"/>
      <c r="M428" s="1023"/>
      <c r="N428" s="1023"/>
      <c r="O428" s="1023"/>
      <c r="P428" s="1023"/>
      <c r="Q428" s="1023"/>
      <c r="R428" s="1023"/>
      <c r="S428" s="1023"/>
      <c r="T428" s="1023"/>
      <c r="U428" s="1023"/>
      <c r="V428" s="1046">
        <v>2.38</v>
      </c>
      <c r="W428" s="1046">
        <v>66.86</v>
      </c>
      <c r="X428" s="1023"/>
      <c r="Y428" s="1023"/>
      <c r="Z428" s="1023"/>
      <c r="AA428" s="1023"/>
      <c r="AB428" s="1023"/>
      <c r="AC428" s="1023"/>
      <c r="AD428" s="1021">
        <f>D422*(100-E422)/(100-W428)</f>
        <v>2.3302112251056131</v>
      </c>
      <c r="AE428" s="1055">
        <f>D422-V428</f>
        <v>0.94</v>
      </c>
      <c r="AF428" s="847">
        <f>100*(AVERAGE(D$422,D$416,D$400,D$414,D$402,D$407,D$409,D$393,D$395,D$428)-V428)/AVERAGE(D$422,D$416,D$400,D$414,D$402,D$407,D$409,D$393,D$395,D$428)</f>
        <v>35.220468154599885</v>
      </c>
      <c r="AG428" s="847">
        <f>100*(1-((100-AVERAGE(E$422,E$416,E$400,E$414,E$402,E$407,E$409,E$393,E$395,E$428))/(100-W428)))</f>
        <v>27.866626433313215</v>
      </c>
      <c r="AH428" s="1055">
        <f>E422-W428</f>
        <v>9.8799999999999955</v>
      </c>
      <c r="AI428" s="847">
        <f>100*(1-((V428*W428)/(AVERAGE(D$422,D$416,D$400,D$414,D$402,D$407,D$409,D$393,D$395,D$428)*AVERAGE(E$422,E$416,E$400,E$414,E$402,E$407,E$409,E$393,E$395,E$428))))</f>
        <v>43.082206463191376</v>
      </c>
      <c r="AJ428" s="847">
        <f>100*100*((AVERAGE(E$422,E$416,E$400,E$414,E$402,E$407,E$409,E$393,E$395,E$428)-W428)/((100-W428)*AVERAGE(E$422,E$416,E$400,E$414,E$402,E$407,E$409,E$393,E$395,E$428)))</f>
        <v>36.620837680942522</v>
      </c>
      <c r="AK428" s="1046">
        <v>7.16</v>
      </c>
      <c r="AL428" s="1046">
        <v>33.5</v>
      </c>
      <c r="AM428" s="1070">
        <v>297</v>
      </c>
      <c r="AN428" s="334">
        <f t="shared" si="620"/>
        <v>60.480000000000004</v>
      </c>
      <c r="AO428" s="334">
        <f t="shared" si="621"/>
        <v>23.363095238095237</v>
      </c>
      <c r="AP428" s="1070">
        <v>125</v>
      </c>
      <c r="AQ428" s="348">
        <f t="shared" si="619"/>
        <v>7000.2375000000002</v>
      </c>
      <c r="AR428" s="348">
        <f t="shared" ref="AR428" si="633">(AQ428-AQ427)/(C428/24)</f>
        <v>543.12187499999982</v>
      </c>
      <c r="AS428" s="512">
        <f t="shared" ref="AS428" si="634">(AQ428-AQ427)/C428</f>
        <v>22.630078124999994</v>
      </c>
      <c r="AT428" s="334">
        <f>AR428/(AVERAGE(AN428,AN429)*(AVERAGE(D$422,D$416,D$400,D$414,D$402,D$407,D$409,D$393,D$395,D$428))*AVERAGE(E$422,E$416,E$400,E$414,E$402,E$407,E$409,E$393,E$395,E$428)*0.0001)</f>
        <v>321.21087402968931</v>
      </c>
      <c r="AU428" s="334">
        <f>(AQ428-AQ422)/(AVERAGE(AN422:AN428)*((AVERAGE(D$422,D$416,D$400,D$414,D$402,D$407,D$409,D$393,D$395,D$428)*AVERAGE(E$422,E$416,E$400,E$414,E$402,E$407,E$409,E$393,E$395,E$428))-(V428*W428))*0.0001*(SUM(C422:C428)/24))</f>
        <v>869.83943132411332</v>
      </c>
      <c r="AV428" s="512">
        <f>AR428/(AVERAGE(AN429,AN428)*AVERAGE(D$422,D$416,D$400,D$414,D$402,D$407,D$409,D$393,D$395,D$428)*0.01)</f>
        <v>244.42541459289205</v>
      </c>
      <c r="AW428" s="848">
        <f t="shared" si="533"/>
        <v>0.38437499999999986</v>
      </c>
      <c r="AX428" s="1023">
        <v>64.900000000000006</v>
      </c>
      <c r="AY428" s="1023">
        <v>34</v>
      </c>
      <c r="AZ428" s="1023">
        <v>0</v>
      </c>
      <c r="BA428" s="1023">
        <v>21</v>
      </c>
      <c r="BB428" s="1023">
        <v>170</v>
      </c>
      <c r="BC428" s="1023"/>
      <c r="BD428" s="1023"/>
      <c r="BE428" s="1023"/>
      <c r="BF428" s="1023"/>
      <c r="BG428" s="1046">
        <v>2.5099999999999998</v>
      </c>
      <c r="BH428" s="1046">
        <v>64.37</v>
      </c>
      <c r="BI428" s="1023"/>
      <c r="BJ428" s="1023"/>
      <c r="BK428" s="1023"/>
      <c r="BL428" s="1023"/>
      <c r="BM428" s="1023"/>
      <c r="BN428" s="1023"/>
      <c r="BO428" s="847">
        <f>D422*(100-E422)/(100-BH428)</f>
        <v>2.1673645804097679</v>
      </c>
      <c r="BP428" s="1055">
        <f>D422-BG428</f>
        <v>0.81</v>
      </c>
      <c r="BQ428" s="1056">
        <f>100*(AVERAGE(D$422,D$416,D$400,D$414,D$402,D$407,D$409,D$393,D$395,D$428)-BG428)/AVERAGE(D$422,D$416,D$400,D$414,D$402,D$407,D$409,D$393,D$395,D$428)</f>
        <v>31.682090364725095</v>
      </c>
      <c r="BR428" s="1056">
        <f>100*(1-((100-AVERAGE(E$422,E$416,E$400,E$414,E$402,E$407,E$409,E$393,E$395,E$428))/(100-BH428)))</f>
        <v>32.907662082514719</v>
      </c>
      <c r="BS428" s="1055">
        <f>E422-BH428</f>
        <v>12.36999999999999</v>
      </c>
      <c r="BT428" s="1055">
        <f>100*(1-((BG428*BH428)/(AVERAGE(D$422,D$416,D$400,D$414,D$402,D$407,D$409,D$393,D$395,D$428)*AVERAGE(E$422,E$416,E$400,E$414,E$402,E$407,E$409,E$393,E$395,E$428))))</f>
        <v>42.208767419375171</v>
      </c>
      <c r="BU428" s="847">
        <f>100*100*((AVERAGE(E$422,E$416,E$400,E$414,E$402,E$407,E$409,E$393,E$395,E$428)-BH428)/((100-BH428)*AVERAGE(E$422,E$416,E$400,E$414,E$402,E$407,E$409,E$393,E$395,E$428)))</f>
        <v>43.245498498606644</v>
      </c>
      <c r="BV428" s="1046">
        <v>7.25</v>
      </c>
      <c r="BW428" s="1046">
        <v>47.5</v>
      </c>
      <c r="BX428" s="1053">
        <v>183</v>
      </c>
      <c r="BY428" s="1056">
        <f t="shared" si="624"/>
        <v>32</v>
      </c>
      <c r="BZ428" s="1056">
        <f t="shared" si="625"/>
        <v>23.3125</v>
      </c>
      <c r="CA428" s="1053">
        <v>74</v>
      </c>
      <c r="CB428" s="348">
        <f t="shared" si="626"/>
        <v>23872.831249999999</v>
      </c>
      <c r="CC428" s="334">
        <f t="shared" si="627"/>
        <v>367.96875</v>
      </c>
      <c r="CD428" s="334">
        <f t="shared" si="628"/>
        <v>15.33203125</v>
      </c>
      <c r="CE428" s="512">
        <f>CC428/(AVERAGE(BY429,BY428)*(AVERAGE(D$422,D$416,D$400,D$414,D$402,D$407,D$409,D$393,D$395,D$428))*AVERAGE(E$422,E$416,E$400,E$414,E$402,E$407,E$409,E$393,E$395,E$428)*0.0001)</f>
        <v>411.30660698923646</v>
      </c>
      <c r="CF428" s="334">
        <f>(CB428-CB422)/(AVERAGE(BY422:BY428)*((AVERAGE(D$422,D$416,D$400,D$414,D$402,D$407,D$409,D$393,D$395,D$428)*AVERAGE(E$422,E$416,E$400,E$414,E$402,E$407,E$409,E$393,E$395,E$428))-(BG428*BH428))*0.0001*(SUM(C422:C428)/24))</f>
        <v>974.45775400784066</v>
      </c>
      <c r="CG428" s="334">
        <f>CC428/(AVERAGE(BY428,BY429)*AVERAGE((D$422,D$416,D$400,D$414,D$402,D$407,D$409,D$393,D$395,D$428))*0.01)</f>
        <v>312.98376258845951</v>
      </c>
      <c r="CH428" s="848">
        <f t="shared" si="591"/>
        <v>0.49325569705093836</v>
      </c>
      <c r="CI428" s="1023">
        <v>65.099999999999994</v>
      </c>
      <c r="CJ428" s="1023">
        <v>31.8</v>
      </c>
      <c r="CK428" s="1023">
        <v>0</v>
      </c>
      <c r="CL428" s="1023">
        <v>25</v>
      </c>
      <c r="CM428" s="1023">
        <v>105</v>
      </c>
      <c r="CN428" s="1023"/>
    </row>
    <row r="429" spans="1:92" s="1045" customFormat="1">
      <c r="A429" s="1034">
        <f t="shared" si="585"/>
        <v>41584</v>
      </c>
      <c r="B429" s="1035">
        <v>0.33333333333333398</v>
      </c>
      <c r="C429" s="854">
        <f t="shared" si="629"/>
        <v>24</v>
      </c>
      <c r="D429" s="1044"/>
      <c r="E429" s="1044"/>
      <c r="F429" s="1044"/>
      <c r="G429" s="1044"/>
      <c r="H429" s="1044"/>
      <c r="I429" s="1044"/>
      <c r="J429" s="1044"/>
      <c r="K429" s="1044"/>
      <c r="L429" s="1044"/>
      <c r="M429" s="1044">
        <v>52</v>
      </c>
      <c r="N429" s="1044">
        <v>80</v>
      </c>
      <c r="O429" s="1044"/>
      <c r="P429" s="1044"/>
      <c r="Q429" s="1044"/>
      <c r="R429" s="1044"/>
      <c r="S429" s="1044"/>
      <c r="T429" s="1044"/>
      <c r="U429" s="1044"/>
      <c r="V429" s="1044"/>
      <c r="W429" s="1044"/>
      <c r="X429" s="1044"/>
      <c r="Y429" s="1044"/>
      <c r="Z429" s="1044"/>
      <c r="AA429" s="1044"/>
      <c r="AB429" s="1044"/>
      <c r="AC429" s="1044"/>
      <c r="AD429" s="1044"/>
      <c r="AE429" s="1044"/>
      <c r="AF429" s="1044"/>
      <c r="AG429" s="1044"/>
      <c r="AH429" s="1044"/>
      <c r="AI429" s="1044"/>
      <c r="AJ429" s="1044"/>
      <c r="AK429" s="1044"/>
      <c r="AL429" s="1044">
        <v>35.299999999999997</v>
      </c>
      <c r="AM429" s="1068">
        <v>325</v>
      </c>
      <c r="AN429" s="208">
        <f t="shared" ref="AN429:AN434" si="635">(AM429-AM428)*AQ$1/((C428)/24)</f>
        <v>60.480000000000004</v>
      </c>
      <c r="AO429" s="208">
        <f t="shared" ref="AO429:AO434" si="636">AQ$3/AN429</f>
        <v>23.363095238095237</v>
      </c>
      <c r="AP429" s="1068">
        <v>134</v>
      </c>
      <c r="AQ429" s="76">
        <f t="shared" si="619"/>
        <v>7543.3593750000009</v>
      </c>
      <c r="AR429" s="76">
        <f t="shared" ref="AR429:AR434" si="637">(AQ429-AQ428)/(C429/24)</f>
        <v>543.12187500000073</v>
      </c>
      <c r="AS429" s="230">
        <f t="shared" ref="AS429:AS434" si="638">(AQ429-AQ428)/C429</f>
        <v>22.630078125000029</v>
      </c>
      <c r="AT429" s="208">
        <f t="shared" ref="AT429" si="639">AR429/(AVERAGE(AN429,AN430)*(AVERAGE(D$422,D$416,D$400,D$414,D$402,D$407,D$409,D$393,D$395,D$428))*AVERAGE(E$422,E$416,E$400,E$414,E$402,E$407,E$409,E$393,E$395,E$428)*0.0001)</f>
        <v>321.21087402968982</v>
      </c>
      <c r="AU429" s="1058"/>
      <c r="AV429" s="230">
        <f t="shared" ref="AV429" si="640">AR429/(AVERAGE(AN430,AN429)*AVERAGE(D$422,D$416,D$400,D$414,D$402,D$407,D$409,D$393,D$395,D$428)*0.01)</f>
        <v>244.42541459289245</v>
      </c>
      <c r="AW429" s="855">
        <f t="shared" si="533"/>
        <v>0.38437500000000052</v>
      </c>
      <c r="AX429" s="1044"/>
      <c r="AY429" s="1044"/>
      <c r="AZ429" s="1044"/>
      <c r="BA429" s="1044"/>
      <c r="BB429" s="1044"/>
      <c r="BC429" s="1044"/>
      <c r="BD429" s="1044"/>
      <c r="BE429" s="1044"/>
      <c r="BF429" s="1044"/>
      <c r="BG429" s="1044"/>
      <c r="BH429" s="1044"/>
      <c r="BI429" s="1044"/>
      <c r="BJ429" s="1044"/>
      <c r="BK429" s="1044"/>
      <c r="BL429" s="1044"/>
      <c r="BM429" s="1044"/>
      <c r="BN429" s="1044"/>
      <c r="BO429" s="1044"/>
      <c r="BP429" s="1044"/>
      <c r="BQ429" s="1044"/>
      <c r="BR429" s="1044"/>
      <c r="BS429" s="1044"/>
      <c r="BT429" s="1044"/>
      <c r="BU429" s="1044"/>
      <c r="BV429" s="1044"/>
      <c r="BW429" s="1044">
        <v>50.6</v>
      </c>
      <c r="BX429" s="1044">
        <v>199</v>
      </c>
      <c r="BY429" s="1054">
        <f t="shared" ref="BY429:BY434" si="641">(BX429-BX428)*CB$1/((C429)/24)</f>
        <v>32</v>
      </c>
      <c r="BZ429" s="1054">
        <f t="shared" ref="BZ429:BZ434" si="642">CB$3/BY429</f>
        <v>23.3125</v>
      </c>
      <c r="CA429" s="1044">
        <v>79</v>
      </c>
      <c r="CB429" s="1047">
        <f t="shared" si="626"/>
        <v>24179.471874999999</v>
      </c>
      <c r="CC429" s="208">
        <f t="shared" ref="CC429:CC434" si="643">(CB429-CB428)/((C429/24))</f>
        <v>306.640625</v>
      </c>
      <c r="CD429" s="208">
        <f t="shared" ref="CD429:CD434" si="644">(CB429-CB428)/(C429)</f>
        <v>12.776692708333334</v>
      </c>
      <c r="CE429" s="230">
        <f t="shared" ref="CE429" si="645">CC429/(AVERAGE(BY430,BY429)*(AVERAGE(D$422,D$416,D$400,D$414,D$402,D$407,D$409,D$393,D$395,D$428))*AVERAGE(E$422,E$416,E$400,E$414,E$402,E$407,E$409,E$393,E$395,E$428)*0.0001)</f>
        <v>353.81213504450454</v>
      </c>
      <c r="CF429" s="1058"/>
      <c r="CG429" s="208">
        <f>CC429/(AVERAGE(BY429,BY430)*AVERAGE((D$422,D$416,D$400,D$414,D$402,D$407,D$409,D$393,D$395,D$428))*0.01)</f>
        <v>269.23334416211571</v>
      </c>
      <c r="CH429" s="855">
        <f t="shared" si="591"/>
        <v>0.41104641420911531</v>
      </c>
      <c r="CI429" s="1044"/>
      <c r="CJ429" s="1044"/>
      <c r="CK429" s="1044"/>
      <c r="CL429" s="1044"/>
      <c r="CM429" s="1044"/>
      <c r="CN429" s="1044"/>
    </row>
    <row r="430" spans="1:92" s="1024" customFormat="1">
      <c r="A430" s="1036">
        <f t="shared" si="585"/>
        <v>41585</v>
      </c>
      <c r="B430" s="1037">
        <v>0.33333333333333398</v>
      </c>
      <c r="C430" s="847">
        <f t="shared" si="629"/>
        <v>24</v>
      </c>
      <c r="D430" s="1023">
        <v>3.1</v>
      </c>
      <c r="E430" s="1023">
        <v>70.900000000000006</v>
      </c>
      <c r="F430" s="1023">
        <v>34100</v>
      </c>
      <c r="G430" s="1023"/>
      <c r="H430" s="1023">
        <v>53.1</v>
      </c>
      <c r="I430" s="1023">
        <v>2858</v>
      </c>
      <c r="J430" s="1023">
        <v>1075</v>
      </c>
      <c r="K430" s="1023">
        <v>48.8</v>
      </c>
      <c r="L430" s="1023">
        <v>181</v>
      </c>
      <c r="M430" s="1023"/>
      <c r="N430" s="1023"/>
      <c r="O430" s="1023"/>
      <c r="P430" s="1023"/>
      <c r="Q430" s="1023"/>
      <c r="R430" s="1023"/>
      <c r="S430" s="1023"/>
      <c r="T430" s="1023"/>
      <c r="U430" s="1023"/>
      <c r="V430" s="1023">
        <v>2.5</v>
      </c>
      <c r="W430" s="1023">
        <v>65.5</v>
      </c>
      <c r="X430" s="1023">
        <v>24000</v>
      </c>
      <c r="Y430" s="1023">
        <v>44</v>
      </c>
      <c r="Z430" s="1023">
        <v>1576</v>
      </c>
      <c r="AA430" s="1023">
        <v>410</v>
      </c>
      <c r="AB430" s="1023">
        <v>76</v>
      </c>
      <c r="AC430" s="1023">
        <v>110</v>
      </c>
      <c r="AD430" s="1021">
        <f>D428*(100-E428)/(100-W430)</f>
        <v>2.2579913043478257</v>
      </c>
      <c r="AE430" s="1055">
        <f>D428-V430</f>
        <v>0.41000000000000014</v>
      </c>
      <c r="AF430" s="847">
        <f>100*(AVERAGE(D$422,D$416,D$400,D$414,D$402,D$407,D$409,D$430,D$395,D$428)-V430)/AVERAGE(D$422,D$416,D$400,D$414,D$402,D$407,D$409,D$430,D$395,D$428)</f>
        <v>30.400890868596882</v>
      </c>
      <c r="AG430" s="847">
        <f>100*(1-((100-AVERAGE(E$422,E$416,E$400,E$414,E$402,E$407,E$409,E$430,E$395,E$428))/(100-W430)))</f>
        <v>28.828985507246372</v>
      </c>
      <c r="AH430" s="1055">
        <f>E428-W430</f>
        <v>7.730000000000004</v>
      </c>
      <c r="AI430" s="847">
        <f>100*(1-((V430*W430)/(AVERAGE(D$422,D$416,D$400,D$414,D$402,D$407,D$409,D$430,D$395,D$428)*AVERAGE(E$422,E$416,E$400,E$414,E$402,E$407,E$409,E$430,E$395,E$428))))</f>
        <v>39.576098824233163</v>
      </c>
      <c r="AJ430" s="847">
        <f>100*100*((AVERAGE(E$422,E$416,E$400,E$414,E$402,E$407,E$409,E$430,E$395,E$428)-W430)/((100-W430)*AVERAGE(E$422,E$416,E$400,E$414,E$402,E$407,E$409,E$430,E$395,E$428)))</f>
        <v>38.211416784516572</v>
      </c>
      <c r="AK430" s="1023"/>
      <c r="AL430" s="1023">
        <v>35.1</v>
      </c>
      <c r="AM430" s="1071">
        <v>353</v>
      </c>
      <c r="AN430" s="334">
        <f t="shared" si="635"/>
        <v>60.480000000000004</v>
      </c>
      <c r="AO430" s="334">
        <f t="shared" si="636"/>
        <v>23.363095238095237</v>
      </c>
      <c r="AP430" s="1071">
        <v>141</v>
      </c>
      <c r="AQ430" s="348">
        <f t="shared" si="619"/>
        <v>7965.7875000000004</v>
      </c>
      <c r="AR430" s="348">
        <f t="shared" si="637"/>
        <v>422.42812499999945</v>
      </c>
      <c r="AS430" s="512">
        <f t="shared" si="638"/>
        <v>17.601171874999977</v>
      </c>
      <c r="AT430" s="334">
        <f>AR430/(AVERAGE(AN430,AN431)*(AVERAGE(D$422,D$416,D$400,D$414,D$402,D$407,D$409,D$430,D$395,D$428))*AVERAGE(E$422,E$416,E$400,E$414,E$402,E$407,E$409,E$430,E$395,E$428)*0.0001)</f>
        <v>257.73209013757059</v>
      </c>
      <c r="AU430" s="334">
        <f>(AQ430-AQ424)/(AVERAGE(AN424:AN430)*((AVERAGE(D$422,D$416,D$400,D$414,D$402,D$407,D$409,D$430,D$395,D$428)*AVERAGE(E$422,E$416,E$400,E$414,E$402,E$407,E$409,E$430,E$395,E$428))-(V430*W430))*0.0001*(SUM(C424:C430)/24))</f>
        <v>836.81582740246722</v>
      </c>
      <c r="AV430" s="512">
        <f>AR430/(AVERAGE(AN431,AN430)*AVERAGE(D$422,D$416,D$400,D$414,D$402,D$407,D$409,D$430,D$395,D$428)*0.01)</f>
        <v>194.44855272519149</v>
      </c>
      <c r="AW430" s="848">
        <f t="shared" si="533"/>
        <v>0.29895833333333294</v>
      </c>
      <c r="AX430" s="1023"/>
      <c r="AY430" s="1023"/>
      <c r="AZ430" s="1023"/>
      <c r="BA430" s="1023"/>
      <c r="BB430" s="1023"/>
      <c r="BC430" s="1023"/>
      <c r="BD430" s="1023"/>
      <c r="BE430" s="1023"/>
      <c r="BF430" s="1023"/>
      <c r="BG430" s="1023">
        <v>2.7</v>
      </c>
      <c r="BH430" s="1023">
        <v>61.6</v>
      </c>
      <c r="BI430" s="1023">
        <v>23800</v>
      </c>
      <c r="BJ430" s="1023">
        <v>47.7</v>
      </c>
      <c r="BK430" s="1023">
        <v>3143</v>
      </c>
      <c r="BL430" s="1023">
        <v>683</v>
      </c>
      <c r="BM430" s="1023">
        <v>91.3</v>
      </c>
      <c r="BN430" s="1023">
        <v>89.6</v>
      </c>
      <c r="BO430" s="847">
        <f>D428*(100-E428)/(100-BH430)</f>
        <v>2.0286640624999999</v>
      </c>
      <c r="BP430" s="1055">
        <f>D428-BG430</f>
        <v>0.20999999999999996</v>
      </c>
      <c r="BQ430" s="1056">
        <f>100*(AVERAGE(D$422,D$416,D$400,D$414,D$402,D$407,D$409,D$430,D$395,D$428)-BG430)/AVERAGE(D$422,D$416,D$400,D$414,D$402,D$407,D$409,D$430,D$395,D$428)</f>
        <v>24.832962138084628</v>
      </c>
      <c r="BR430" s="1056">
        <f>100*(1-((100-AVERAGE(E$422,E$416,E$400,E$414,E$402,E$407,E$409,E$430,E$395,E$428))/(100-BH430)))</f>
        <v>36.057291666666657</v>
      </c>
      <c r="BS430" s="1055">
        <f>E428-BH430</f>
        <v>11.630000000000003</v>
      </c>
      <c r="BT430" s="1055">
        <f>100*(1-((BG430*BH430)/(AVERAGE(D$422,D$416,D$400,D$414,D$402,D$407,D$409,D$430,D$395,D$428)*AVERAGE(E$422,E$416,E$400,E$414,E$402,E$407,E$409,E$430,E$395,E$428))))</f>
        <v>38.627766451581422</v>
      </c>
      <c r="BU430" s="847">
        <f>100*100*((AVERAGE(E$422,E$416,E$400,E$414,E$402,E$407,E$409,E$430,E$395,E$428)-BH430)/((100-BH430)*AVERAGE(E$422,E$416,E$400,E$414,E$402,E$407,E$409,E$430,E$395,E$428)))</f>
        <v>47.79218469722273</v>
      </c>
      <c r="BV430" s="1023"/>
      <c r="BW430" s="1023">
        <v>50.5</v>
      </c>
      <c r="BX430" s="1023">
        <v>214</v>
      </c>
      <c r="BY430" s="1056">
        <f t="shared" si="641"/>
        <v>30</v>
      </c>
      <c r="BZ430" s="1056">
        <f t="shared" si="642"/>
        <v>24.866666666666667</v>
      </c>
      <c r="CA430" s="1023">
        <v>84</v>
      </c>
      <c r="CB430" s="1057">
        <f t="shared" si="626"/>
        <v>24486.112499999999</v>
      </c>
      <c r="CC430" s="334">
        <f t="shared" si="643"/>
        <v>306.640625</v>
      </c>
      <c r="CD430" s="334">
        <f t="shared" si="644"/>
        <v>12.776692708333334</v>
      </c>
      <c r="CE430" s="512">
        <f>CC430/(AVERAGE(BY431,BY430)*(AVERAGE(D$422,D$416,D$400,D$414,D$402,D$407,D$409,D$430,D$395,D$428))*AVERAGE(E$422,E$416,E$400,E$414,E$402,E$407,E$409,E$430,E$395,E$428)*0.0001)</f>
        <v>353.59585537166748</v>
      </c>
      <c r="CF430" s="334">
        <f>(CB430-CB424)/(AVERAGE(BY424:BY430)*((AVERAGE(D$422,D$416,D$400,D$414,D$402,D$407,D$409,D$430,D$395,D$428)*AVERAGE(E$422,E$416,E$400,E$414,E$402,E$407,E$409,E$430,E$395,E$428))-(BG430*BH430))*0.0001*(SUM(C424:C430)/24))</f>
        <v>1011.9253104226402</v>
      </c>
      <c r="CG430" s="334">
        <f>CC430/(AVERAGE(BY430,BY431)*AVERAGE((D$422,D$416,D$400,D$414,D$402,D$407,D$409,D$430,D$395,D$428))*0.01)</f>
        <v>266.77392904370822</v>
      </c>
      <c r="CH430" s="848">
        <f t="shared" si="591"/>
        <v>0.41104641420911531</v>
      </c>
      <c r="CI430" s="1023"/>
      <c r="CJ430" s="1023"/>
      <c r="CK430" s="1023"/>
      <c r="CL430" s="1023"/>
      <c r="CM430" s="1023"/>
      <c r="CN430" s="1023"/>
    </row>
    <row r="431" spans="1:92" s="1045" customFormat="1">
      <c r="A431" s="1034">
        <f t="shared" si="585"/>
        <v>41586</v>
      </c>
      <c r="B431" s="1035">
        <v>0.33333333333333398</v>
      </c>
      <c r="C431" s="854">
        <f t="shared" si="629"/>
        <v>24</v>
      </c>
      <c r="D431" s="1044"/>
      <c r="E431" s="1044"/>
      <c r="F431" s="1044"/>
      <c r="G431" s="1044"/>
      <c r="H431" s="1044"/>
      <c r="I431" s="1044"/>
      <c r="J431" s="1044"/>
      <c r="K431" s="1044"/>
      <c r="L431" s="1044"/>
      <c r="M431" s="1044">
        <v>55</v>
      </c>
      <c r="N431" s="1044">
        <v>85</v>
      </c>
      <c r="O431" s="1044"/>
      <c r="P431" s="1044"/>
      <c r="Q431" s="1044"/>
      <c r="R431" s="1044"/>
      <c r="S431" s="1044"/>
      <c r="T431" s="1044"/>
      <c r="U431" s="1044"/>
      <c r="V431" s="1044"/>
      <c r="W431" s="1044"/>
      <c r="X431" s="1044"/>
      <c r="Y431" s="1044"/>
      <c r="Z431" s="1044"/>
      <c r="AA431" s="1044"/>
      <c r="AB431" s="1044"/>
      <c r="AC431" s="1044"/>
      <c r="AD431" s="1044"/>
      <c r="AE431" s="1044"/>
      <c r="AF431" s="1044"/>
      <c r="AG431" s="1044"/>
      <c r="AH431" s="1044"/>
      <c r="AI431" s="1044"/>
      <c r="AJ431" s="1044"/>
      <c r="AK431" s="1044"/>
      <c r="AL431" s="1044">
        <v>35.200000000000003</v>
      </c>
      <c r="AM431" s="1068">
        <v>381</v>
      </c>
      <c r="AN431" s="208">
        <f t="shared" si="635"/>
        <v>60.480000000000004</v>
      </c>
      <c r="AO431" s="208">
        <f t="shared" si="636"/>
        <v>23.363095238095237</v>
      </c>
      <c r="AP431" s="1068">
        <v>148</v>
      </c>
      <c r="AQ431" s="76">
        <f t="shared" si="619"/>
        <v>8388.2156250000007</v>
      </c>
      <c r="AR431" s="76">
        <f t="shared" si="637"/>
        <v>422.42812500000036</v>
      </c>
      <c r="AS431" s="230">
        <f t="shared" si="638"/>
        <v>17.601171875000016</v>
      </c>
      <c r="AT431" s="208">
        <f t="shared" ref="AT431:AT435" si="646">AR431/(AVERAGE(AN431,AN432)*(AVERAGE(D$422,D$416,D$400,D$414,D$402,D$407,D$409,D$430,D$395,D$428))*AVERAGE(E$422,E$416,E$400,E$414,E$402,E$407,E$409,E$430,E$395,E$428)*0.0001)</f>
        <v>262.41812814007244</v>
      </c>
      <c r="AU431" s="1044"/>
      <c r="AV431" s="230">
        <f t="shared" ref="AV431:AV435" si="647">AR431/(AVERAGE(AN432,AN431)*AVERAGE(D$422,D$416,D$400,D$414,D$402,D$407,D$409,D$430,D$395,D$428)*0.01)</f>
        <v>197.98398095655904</v>
      </c>
      <c r="AW431" s="855">
        <f t="shared" si="533"/>
        <v>0.2989583333333336</v>
      </c>
      <c r="AX431" s="1044"/>
      <c r="AY431" s="1044"/>
      <c r="AZ431" s="1044"/>
      <c r="BA431" s="1044"/>
      <c r="BB431" s="1044"/>
      <c r="BC431" s="1044"/>
      <c r="BD431" s="1044"/>
      <c r="BE431" s="1044"/>
      <c r="BF431" s="1044"/>
      <c r="BG431" s="1044"/>
      <c r="BH431" s="1044"/>
      <c r="BI431" s="1044"/>
      <c r="BJ431" s="1044"/>
      <c r="BK431" s="1044"/>
      <c r="BL431" s="1044"/>
      <c r="BM431" s="1044"/>
      <c r="BN431" s="1044"/>
      <c r="BO431" s="1044"/>
      <c r="BP431" s="1044"/>
      <c r="BQ431" s="1044"/>
      <c r="BR431" s="1044"/>
      <c r="BS431" s="1044"/>
      <c r="BT431" s="1044"/>
      <c r="BU431" s="1044"/>
      <c r="BV431" s="1044"/>
      <c r="BW431" s="1044">
        <v>50.4</v>
      </c>
      <c r="BX431" s="1044">
        <v>231</v>
      </c>
      <c r="BY431" s="1054">
        <f t="shared" si="641"/>
        <v>34</v>
      </c>
      <c r="BZ431" s="1054">
        <f t="shared" si="642"/>
        <v>21.941176470588236</v>
      </c>
      <c r="CA431" s="1044">
        <v>88</v>
      </c>
      <c r="CB431" s="1047">
        <f t="shared" si="626"/>
        <v>24731.424999999999</v>
      </c>
      <c r="CC431" s="208">
        <f t="shared" si="643"/>
        <v>245.3125</v>
      </c>
      <c r="CD431" s="208">
        <f t="shared" si="644"/>
        <v>10.221354166666666</v>
      </c>
      <c r="CE431" s="230">
        <f t="shared" ref="CE431:CE435" si="648">CC431/(AVERAGE(BY432,BY431)*(AVERAGE(D$422,D$416,D$400,D$414,D$402,D$407,D$409,D$430,D$395,D$428))*AVERAGE(E$422,E$416,E$400,E$414,E$402,E$407,E$409,E$430,E$395,E$428)*0.0001)</f>
        <v>274.30466356105114</v>
      </c>
      <c r="CF431" s="1044"/>
      <c r="CG431" s="208">
        <f>CC431/(AVERAGE(BY431,BY432)*AVERAGE((D$422,D$416,D$400,D$414,D$402,D$407,D$409,D$430,D$395,D$428))*0.01)</f>
        <v>206.95189647027064</v>
      </c>
      <c r="CH431" s="855">
        <f t="shared" si="591"/>
        <v>0.3288371313672922</v>
      </c>
      <c r="CI431" s="1044"/>
      <c r="CJ431" s="1044"/>
      <c r="CK431" s="1044"/>
      <c r="CL431" s="1044"/>
      <c r="CM431" s="1044"/>
      <c r="CN431" s="1044"/>
    </row>
    <row r="432" spans="1:92" s="1045" customFormat="1">
      <c r="A432" s="1034">
        <f t="shared" si="585"/>
        <v>41587</v>
      </c>
      <c r="B432" s="1035">
        <v>0.33333333333333398</v>
      </c>
      <c r="C432" s="854">
        <f t="shared" si="629"/>
        <v>24</v>
      </c>
      <c r="D432" s="1044"/>
      <c r="E432" s="1044"/>
      <c r="F432" s="1044"/>
      <c r="G432" s="1044"/>
      <c r="H432" s="1044"/>
      <c r="I432" s="1044"/>
      <c r="J432" s="1044"/>
      <c r="K432" s="1044"/>
      <c r="L432" s="1044"/>
      <c r="M432" s="1044"/>
      <c r="N432" s="1044"/>
      <c r="O432" s="1044"/>
      <c r="P432" s="1044"/>
      <c r="Q432" s="1044"/>
      <c r="R432" s="1044"/>
      <c r="S432" s="1044"/>
      <c r="T432" s="1044"/>
      <c r="U432" s="1044"/>
      <c r="V432" s="1044"/>
      <c r="W432" s="1044"/>
      <c r="X432" s="1044"/>
      <c r="Y432" s="1044"/>
      <c r="Z432" s="1044"/>
      <c r="AA432" s="1044"/>
      <c r="AB432" s="1044"/>
      <c r="AC432" s="1044"/>
      <c r="AD432" s="1044"/>
      <c r="AE432" s="1044"/>
      <c r="AF432" s="1044"/>
      <c r="AG432" s="1044"/>
      <c r="AH432" s="1044"/>
      <c r="AI432" s="1044"/>
      <c r="AJ432" s="1044"/>
      <c r="AK432" s="1044"/>
      <c r="AL432" s="1044">
        <v>35.4</v>
      </c>
      <c r="AM432" s="1068">
        <v>408</v>
      </c>
      <c r="AN432" s="208">
        <f t="shared" si="635"/>
        <v>58.320000000000007</v>
      </c>
      <c r="AO432" s="208">
        <f t="shared" si="636"/>
        <v>24.228395061728392</v>
      </c>
      <c r="AP432" s="1068">
        <v>157</v>
      </c>
      <c r="AQ432" s="76">
        <f t="shared" si="619"/>
        <v>8931.3375000000015</v>
      </c>
      <c r="AR432" s="76">
        <f t="shared" si="637"/>
        <v>543.12187500000073</v>
      </c>
      <c r="AS432" s="230">
        <f t="shared" si="638"/>
        <v>22.630078125000029</v>
      </c>
      <c r="AT432" s="208">
        <f t="shared" si="646"/>
        <v>337.39473618009328</v>
      </c>
      <c r="AU432" s="1044"/>
      <c r="AV432" s="230">
        <f t="shared" si="647"/>
        <v>254.55083265843317</v>
      </c>
      <c r="AW432" s="855">
        <f t="shared" si="533"/>
        <v>0.38437500000000052</v>
      </c>
      <c r="AX432" s="1044"/>
      <c r="AY432" s="1044"/>
      <c r="AZ432" s="1044"/>
      <c r="BA432" s="1044"/>
      <c r="BB432" s="1044"/>
      <c r="BC432" s="1044"/>
      <c r="BD432" s="1044"/>
      <c r="BE432" s="1044"/>
      <c r="BF432" s="1044"/>
      <c r="BG432" s="1044"/>
      <c r="BH432" s="1044"/>
      <c r="BI432" s="1044"/>
      <c r="BJ432" s="1044"/>
      <c r="BK432" s="1044"/>
      <c r="BL432" s="1044"/>
      <c r="BM432" s="1044"/>
      <c r="BN432" s="1044"/>
      <c r="BO432" s="1044"/>
      <c r="BP432" s="1044"/>
      <c r="BQ432" s="1044"/>
      <c r="BR432" s="1044"/>
      <c r="BS432" s="1044"/>
      <c r="BT432" s="1044"/>
      <c r="BU432" s="1044"/>
      <c r="BV432" s="1044"/>
      <c r="BW432" s="1044">
        <v>50.6</v>
      </c>
      <c r="BX432" s="1044">
        <v>247</v>
      </c>
      <c r="BY432" s="1054">
        <f t="shared" si="641"/>
        <v>32</v>
      </c>
      <c r="BZ432" s="1054">
        <f t="shared" si="642"/>
        <v>23.3125</v>
      </c>
      <c r="CA432" s="1044">
        <v>93</v>
      </c>
      <c r="CB432" s="1047">
        <f t="shared" si="626"/>
        <v>25038.065624999999</v>
      </c>
      <c r="CC432" s="208">
        <f t="shared" si="643"/>
        <v>306.640625</v>
      </c>
      <c r="CD432" s="208">
        <f t="shared" si="644"/>
        <v>12.776692708333334</v>
      </c>
      <c r="CE432" s="230">
        <f t="shared" si="648"/>
        <v>353.59585537166748</v>
      </c>
      <c r="CF432" s="1044"/>
      <c r="CG432" s="208">
        <f>CC432/(AVERAGE(BY432,BY433)*AVERAGE((D$422,D$416,D$400,D$414,D$402,D$407,D$409,D$430,D$395,D$428))*0.01)</f>
        <v>266.77392904370822</v>
      </c>
      <c r="CH432" s="855">
        <f t="shared" si="591"/>
        <v>0.41104641420911531</v>
      </c>
      <c r="CI432" s="1044"/>
      <c r="CJ432" s="1044"/>
      <c r="CK432" s="1044"/>
      <c r="CL432" s="1044"/>
      <c r="CM432" s="1044"/>
      <c r="CN432" s="1044"/>
    </row>
    <row r="433" spans="1:92" s="1045" customFormat="1">
      <c r="A433" s="1034">
        <f t="shared" si="585"/>
        <v>41588</v>
      </c>
      <c r="B433" s="1035">
        <v>0.33333333333333398</v>
      </c>
      <c r="C433" s="854">
        <f t="shared" si="629"/>
        <v>24</v>
      </c>
      <c r="D433" s="1044"/>
      <c r="E433" s="1044"/>
      <c r="F433" s="1044"/>
      <c r="G433" s="1044"/>
      <c r="H433" s="1044"/>
      <c r="I433" s="1044"/>
      <c r="J433" s="1044"/>
      <c r="K433" s="1044"/>
      <c r="L433" s="1044"/>
      <c r="M433" s="1044">
        <v>55</v>
      </c>
      <c r="N433" s="1044">
        <v>80</v>
      </c>
      <c r="O433" s="1044"/>
      <c r="P433" s="1044"/>
      <c r="Q433" s="1044"/>
      <c r="R433" s="1044"/>
      <c r="S433" s="1044"/>
      <c r="T433" s="1044"/>
      <c r="U433" s="1044"/>
      <c r="V433" s="1044"/>
      <c r="W433" s="1044"/>
      <c r="X433" s="1044"/>
      <c r="Y433" s="1044"/>
      <c r="Z433" s="1044"/>
      <c r="AA433" s="1044"/>
      <c r="AB433" s="1044"/>
      <c r="AC433" s="1044"/>
      <c r="AD433" s="1044"/>
      <c r="AE433" s="1044"/>
      <c r="AF433" s="1044"/>
      <c r="AG433" s="1044"/>
      <c r="AH433" s="1044"/>
      <c r="AI433" s="1044"/>
      <c r="AJ433" s="1044"/>
      <c r="AK433" s="1044"/>
      <c r="AL433" s="1044">
        <v>35.299999999999997</v>
      </c>
      <c r="AM433" s="1068">
        <v>436</v>
      </c>
      <c r="AN433" s="208">
        <f t="shared" si="635"/>
        <v>60.480000000000004</v>
      </c>
      <c r="AO433" s="208">
        <f t="shared" si="636"/>
        <v>23.363095238095237</v>
      </c>
      <c r="AP433" s="1068">
        <v>168</v>
      </c>
      <c r="AQ433" s="76">
        <f t="shared" si="619"/>
        <v>9595.1531250000007</v>
      </c>
      <c r="AR433" s="76">
        <f t="shared" si="637"/>
        <v>663.81562499999927</v>
      </c>
      <c r="AS433" s="230">
        <f t="shared" si="638"/>
        <v>27.658984374999971</v>
      </c>
      <c r="AT433" s="208">
        <f t="shared" si="646"/>
        <v>405.00757021618244</v>
      </c>
      <c r="AU433" s="1044"/>
      <c r="AV433" s="230">
        <f t="shared" si="647"/>
        <v>305.56201142530097</v>
      </c>
      <c r="AW433" s="855">
        <f t="shared" si="533"/>
        <v>0.46979166666666616</v>
      </c>
      <c r="AX433" s="1044"/>
      <c r="AY433" s="1044"/>
      <c r="AZ433" s="1044"/>
      <c r="BA433" s="1044"/>
      <c r="BB433" s="1044"/>
      <c r="BC433" s="1044"/>
      <c r="BD433" s="1044"/>
      <c r="BE433" s="1044"/>
      <c r="BF433" s="1044"/>
      <c r="BG433" s="1044"/>
      <c r="BH433" s="1044"/>
      <c r="BI433" s="1044"/>
      <c r="BJ433" s="1044"/>
      <c r="BK433" s="1044"/>
      <c r="BL433" s="1044"/>
      <c r="BM433" s="1044"/>
      <c r="BN433" s="1044"/>
      <c r="BO433" s="1044"/>
      <c r="BP433" s="1044"/>
      <c r="BQ433" s="1044"/>
      <c r="BR433" s="1044"/>
      <c r="BS433" s="1044"/>
      <c r="BT433" s="1044"/>
      <c r="BU433" s="1044"/>
      <c r="BV433" s="1044"/>
      <c r="BW433" s="1044">
        <v>50.7</v>
      </c>
      <c r="BX433" s="1044">
        <v>263</v>
      </c>
      <c r="BY433" s="1054">
        <f t="shared" si="641"/>
        <v>32</v>
      </c>
      <c r="BZ433" s="1054">
        <f t="shared" si="642"/>
        <v>23.3125</v>
      </c>
      <c r="CA433" s="1044">
        <v>101</v>
      </c>
      <c r="CB433" s="1047">
        <f t="shared" si="626"/>
        <v>25528.690624999999</v>
      </c>
      <c r="CC433" s="208">
        <f t="shared" si="643"/>
        <v>490.625</v>
      </c>
      <c r="CD433" s="208">
        <f t="shared" si="644"/>
        <v>20.442708333333332</v>
      </c>
      <c r="CE433" s="230">
        <f t="shared" si="648"/>
        <v>565.75336859466802</v>
      </c>
      <c r="CF433" s="1044"/>
      <c r="CG433" s="208">
        <f>CC433/(AVERAGE(BY433,BY434)*AVERAGE((D$422,D$416,D$400,D$414,D$402,D$407,D$409,D$430,D$395,D$428))*0.01)</f>
        <v>426.83828646993317</v>
      </c>
      <c r="CH433" s="855">
        <f t="shared" si="591"/>
        <v>0.6576742627345844</v>
      </c>
      <c r="CI433" s="1044"/>
      <c r="CJ433" s="1044"/>
      <c r="CK433" s="1044"/>
      <c r="CL433" s="1044"/>
      <c r="CM433" s="1044"/>
      <c r="CN433" s="1044"/>
    </row>
    <row r="434" spans="1:92" s="1045" customFormat="1">
      <c r="A434" s="1034">
        <f t="shared" si="585"/>
        <v>41589</v>
      </c>
      <c r="B434" s="1035">
        <v>0.33333333333333398</v>
      </c>
      <c r="C434" s="854">
        <f t="shared" si="629"/>
        <v>24</v>
      </c>
      <c r="D434" s="1044"/>
      <c r="E434" s="1044"/>
      <c r="F434" s="1044"/>
      <c r="G434" s="1044"/>
      <c r="H434" s="1044"/>
      <c r="I434" s="1044"/>
      <c r="J434" s="1044"/>
      <c r="K434" s="1044"/>
      <c r="L434" s="1044"/>
      <c r="M434" s="1044">
        <v>60</v>
      </c>
      <c r="N434" s="1044">
        <v>85</v>
      </c>
      <c r="O434" s="1044"/>
      <c r="P434" s="1044"/>
      <c r="Q434" s="1044"/>
      <c r="R434" s="1044"/>
      <c r="S434" s="1044"/>
      <c r="T434" s="1044"/>
      <c r="U434" s="1044"/>
      <c r="V434" s="1044"/>
      <c r="W434" s="1044"/>
      <c r="X434" s="1044"/>
      <c r="Y434" s="1044"/>
      <c r="Z434" s="1044"/>
      <c r="AA434" s="1044"/>
      <c r="AB434" s="1044"/>
      <c r="AC434" s="1044"/>
      <c r="AD434" s="1044"/>
      <c r="AE434" s="1044"/>
      <c r="AF434" s="1044"/>
      <c r="AG434" s="1044"/>
      <c r="AH434" s="1044"/>
      <c r="AI434" s="1044"/>
      <c r="AJ434" s="1044"/>
      <c r="AK434" s="1044"/>
      <c r="AL434" s="1059">
        <v>33.9</v>
      </c>
      <c r="AM434" s="1068">
        <v>464</v>
      </c>
      <c r="AN434" s="208">
        <f t="shared" si="635"/>
        <v>60.480000000000004</v>
      </c>
      <c r="AO434" s="208">
        <f t="shared" si="636"/>
        <v>23.363095238095237</v>
      </c>
      <c r="AP434" s="1068">
        <v>179</v>
      </c>
      <c r="AQ434" s="76">
        <f t="shared" si="619"/>
        <v>10258.96875</v>
      </c>
      <c r="AR434" s="76">
        <f t="shared" si="637"/>
        <v>663.81562499999927</v>
      </c>
      <c r="AS434" s="230">
        <f t="shared" si="638"/>
        <v>27.658984374999971</v>
      </c>
      <c r="AT434" s="208">
        <f t="shared" si="646"/>
        <v>412.37134422011297</v>
      </c>
      <c r="AU434" s="1044"/>
      <c r="AV434" s="230">
        <f t="shared" si="647"/>
        <v>311.11768436030644</v>
      </c>
      <c r="AW434" s="855">
        <f t="shared" si="533"/>
        <v>0.46979166666666616</v>
      </c>
      <c r="AX434" s="1044"/>
      <c r="AY434" s="1044"/>
      <c r="AZ434" s="1044"/>
      <c r="BA434" s="1044"/>
      <c r="BB434" s="1044"/>
      <c r="BC434" s="1044"/>
      <c r="BD434" s="1044"/>
      <c r="BE434" s="1044"/>
      <c r="BF434" s="1044"/>
      <c r="BG434" s="1044"/>
      <c r="BH434" s="1044"/>
      <c r="BI434" s="1044"/>
      <c r="BJ434" s="1044"/>
      <c r="BK434" s="1044"/>
      <c r="BL434" s="1044"/>
      <c r="BM434" s="1044"/>
      <c r="BN434" s="1044"/>
      <c r="BO434" s="1044"/>
      <c r="BP434" s="1044"/>
      <c r="BQ434" s="1044"/>
      <c r="BR434" s="1044"/>
      <c r="BS434" s="1044"/>
      <c r="BT434" s="1044"/>
      <c r="BU434" s="1044"/>
      <c r="BV434" s="1044"/>
      <c r="BW434" s="1059">
        <v>48</v>
      </c>
      <c r="BX434" s="1044">
        <v>279</v>
      </c>
      <c r="BY434" s="1054">
        <f t="shared" si="641"/>
        <v>32</v>
      </c>
      <c r="BZ434" s="1054">
        <f t="shared" si="642"/>
        <v>23.3125</v>
      </c>
      <c r="CA434" s="1044">
        <v>108</v>
      </c>
      <c r="CB434" s="1047">
        <f t="shared" si="626"/>
        <v>25957.987499999999</v>
      </c>
      <c r="CC434" s="208">
        <f t="shared" si="643"/>
        <v>429.296875</v>
      </c>
      <c r="CD434" s="208">
        <f t="shared" si="644"/>
        <v>17.887369791666668</v>
      </c>
      <c r="CE434" s="230">
        <f t="shared" si="648"/>
        <v>495.03419752033449</v>
      </c>
      <c r="CF434" s="1044"/>
      <c r="CG434" s="208">
        <f>CC434/(AVERAGE(BY434,BY435)*AVERAGE((D$422,D$416,D$400,D$414,D$402,D$407,D$409,D$430,D$395,D$428))*0.01)</f>
        <v>373.48350066119156</v>
      </c>
      <c r="CH434" s="855">
        <f t="shared" si="591"/>
        <v>0.57546497989276135</v>
      </c>
      <c r="CI434" s="1044"/>
      <c r="CJ434" s="1044"/>
      <c r="CK434" s="1044"/>
      <c r="CL434" s="1044"/>
      <c r="CM434" s="1044"/>
      <c r="CN434" s="1044"/>
    </row>
    <row r="435" spans="1:92" s="1045" customFormat="1">
      <c r="A435" s="1034">
        <f t="shared" si="585"/>
        <v>41590</v>
      </c>
      <c r="B435" s="1035">
        <v>0.33333333333333398</v>
      </c>
      <c r="C435" s="854">
        <f t="shared" si="629"/>
        <v>24</v>
      </c>
      <c r="D435" s="1044"/>
      <c r="E435" s="1044"/>
      <c r="F435" s="1044"/>
      <c r="G435" s="1044"/>
      <c r="H435" s="1044"/>
      <c r="I435" s="1044"/>
      <c r="J435" s="1044"/>
      <c r="K435" s="1044"/>
      <c r="L435" s="1044"/>
      <c r="M435" s="1044"/>
      <c r="N435" s="1044"/>
      <c r="O435" s="1044"/>
      <c r="P435" s="1044"/>
      <c r="Q435" s="1044"/>
      <c r="R435" s="1044"/>
      <c r="S435" s="1044"/>
      <c r="T435" s="1044"/>
      <c r="U435" s="1044"/>
      <c r="V435" s="1044"/>
      <c r="W435" s="1044"/>
      <c r="X435" s="1044"/>
      <c r="Y435" s="1044"/>
      <c r="Z435" s="1044"/>
      <c r="AA435" s="1044"/>
      <c r="AB435" s="1044"/>
      <c r="AC435" s="1044"/>
      <c r="AD435" s="1044"/>
      <c r="AE435" s="1044"/>
      <c r="AF435" s="1044"/>
      <c r="AG435" s="1044"/>
      <c r="AH435" s="1044"/>
      <c r="AI435" s="1044"/>
      <c r="AJ435" s="1044"/>
      <c r="AK435" s="1044"/>
      <c r="AL435" s="1044">
        <v>35.200000000000003</v>
      </c>
      <c r="AM435" s="1068">
        <v>491</v>
      </c>
      <c r="AN435" s="208">
        <f t="shared" ref="AN435:AN441" si="649">(AM435-AM434)*AQ$1/((C434)/24)</f>
        <v>58.320000000000007</v>
      </c>
      <c r="AO435" s="208">
        <f t="shared" ref="AO435:AO441" si="650">AQ$3/AN435</f>
        <v>24.228395061728392</v>
      </c>
      <c r="AP435" s="1068">
        <v>192</v>
      </c>
      <c r="AQ435" s="76">
        <f t="shared" si="619"/>
        <v>11043.478125000001</v>
      </c>
      <c r="AR435" s="76">
        <f t="shared" ref="AR435:AR441" si="651">(AQ435-AQ434)/(C435/24)</f>
        <v>784.50937500000146</v>
      </c>
      <c r="AS435" s="230">
        <f t="shared" ref="AS435:AS441" si="652">(AQ435-AQ434)/C435</f>
        <v>32.687890625000058</v>
      </c>
      <c r="AT435" s="208">
        <f t="shared" si="646"/>
        <v>487.347952260135</v>
      </c>
      <c r="AU435" s="1044"/>
      <c r="AV435" s="230">
        <f t="shared" si="647"/>
        <v>367.68453606218145</v>
      </c>
      <c r="AW435" s="855">
        <f t="shared" si="533"/>
        <v>0.55520833333333441</v>
      </c>
      <c r="AX435" s="1044"/>
      <c r="AY435" s="1044"/>
      <c r="AZ435" s="1044"/>
      <c r="BA435" s="1044"/>
      <c r="BB435" s="1044"/>
      <c r="BC435" s="1044"/>
      <c r="BD435" s="1044"/>
      <c r="BE435" s="1044"/>
      <c r="BF435" s="1044"/>
      <c r="BG435" s="1044"/>
      <c r="BH435" s="1044"/>
      <c r="BI435" s="1044"/>
      <c r="BJ435" s="1044"/>
      <c r="BK435" s="1044"/>
      <c r="BL435" s="1044"/>
      <c r="BM435" s="1044"/>
      <c r="BN435" s="1044"/>
      <c r="BO435" s="1044"/>
      <c r="BP435" s="1044"/>
      <c r="BQ435" s="1044"/>
      <c r="BR435" s="1044"/>
      <c r="BS435" s="1044"/>
      <c r="BT435" s="1044"/>
      <c r="BU435" s="1044"/>
      <c r="BV435" s="1044"/>
      <c r="BW435" s="1044">
        <v>50.5</v>
      </c>
      <c r="BX435" s="1044">
        <v>295</v>
      </c>
      <c r="BY435" s="1054">
        <f t="shared" ref="BY435:BY441" si="653">(BX435-BX434)*CB$1/((C435)/24)</f>
        <v>32</v>
      </c>
      <c r="BZ435" s="1054">
        <f t="shared" ref="BZ435:BZ441" si="654">CB$3/BY435</f>
        <v>23.3125</v>
      </c>
      <c r="CA435" s="1044">
        <v>116</v>
      </c>
      <c r="CB435" s="1047">
        <f t="shared" si="626"/>
        <v>26448.612499999999</v>
      </c>
      <c r="CC435" s="208">
        <f t="shared" ref="CC435:CC441" si="655">(CB435-CB434)/((C435/24))</f>
        <v>490.625</v>
      </c>
      <c r="CD435" s="208">
        <f t="shared" ref="CD435:CD441" si="656">(CB435-CB434)/(C435)</f>
        <v>20.442708333333332</v>
      </c>
      <c r="CE435" s="230">
        <f t="shared" si="648"/>
        <v>565.75336859466802</v>
      </c>
      <c r="CF435" s="1044"/>
      <c r="CG435" s="208">
        <f>CC435/(AVERAGE(BY435,BY436)*AVERAGE((D$422,D$416,D$400,D$414,D$402,D$407,D$409,D$430,D$395,D$428))*0.01)</f>
        <v>426.83828646993317</v>
      </c>
      <c r="CH435" s="855">
        <f t="shared" si="591"/>
        <v>0.6576742627345844</v>
      </c>
      <c r="CI435" s="1044"/>
      <c r="CJ435" s="1044"/>
      <c r="CK435" s="1044"/>
      <c r="CL435" s="1044"/>
      <c r="CM435" s="1044"/>
      <c r="CN435" s="1044"/>
    </row>
    <row r="436" spans="1:92" s="1024" customFormat="1">
      <c r="A436" s="1036">
        <f t="shared" si="585"/>
        <v>41591</v>
      </c>
      <c r="B436" s="1037">
        <v>0.33333333333333398</v>
      </c>
      <c r="C436" s="847">
        <f t="shared" ref="C436:C442" si="657">((A436-A435)+(B436-B435))*24</f>
        <v>24</v>
      </c>
      <c r="D436" s="1046">
        <v>2.98</v>
      </c>
      <c r="E436" s="1046">
        <v>76.64</v>
      </c>
      <c r="F436" s="1023"/>
      <c r="G436" s="1046">
        <v>6.55</v>
      </c>
      <c r="H436" s="1023"/>
      <c r="I436" s="1023"/>
      <c r="J436" s="1023"/>
      <c r="K436" s="1023"/>
      <c r="L436" s="1023"/>
      <c r="M436" s="1023">
        <v>60</v>
      </c>
      <c r="N436" s="1023">
        <v>85</v>
      </c>
      <c r="O436" s="1023"/>
      <c r="P436" s="1023"/>
      <c r="Q436" s="1023"/>
      <c r="R436" s="1023"/>
      <c r="S436" s="1023"/>
      <c r="T436" s="1023"/>
      <c r="U436" s="1023"/>
      <c r="V436" s="1046">
        <v>2.41</v>
      </c>
      <c r="W436" s="1046">
        <v>68.38</v>
      </c>
      <c r="X436" s="1023"/>
      <c r="Y436" s="1023"/>
      <c r="Z436" s="1023"/>
      <c r="AA436" s="1023"/>
      <c r="AB436" s="1023"/>
      <c r="AC436" s="1023"/>
      <c r="AD436" s="1021">
        <f>D430*(100-E430)/(100-W436)</f>
        <v>2.852941176470587</v>
      </c>
      <c r="AE436" s="1055">
        <f>D430-V436</f>
        <v>0.69</v>
      </c>
      <c r="AF436" s="847">
        <f>100*(AVERAGE(D$422,D$416,D$400,D$414,D$402,D$407,D$409,D$430,D$436,D$428)-V436)/AVERAGE(D$422,D$416,D$400,D$414,D$402,D$407,D$409,D$430,D$436,D$428)</f>
        <v>31.920903954802263</v>
      </c>
      <c r="AG436" s="847">
        <f>100*(1-((100-AVERAGE(E$422,E$416,E$400,E$414,E$402,E$407,E$409,E$430,E$436,E$428))/(100-W436)))</f>
        <v>22.991777356103761</v>
      </c>
      <c r="AH436" s="1055">
        <f>E430-W436</f>
        <v>2.5200000000000102</v>
      </c>
      <c r="AI436" s="847">
        <f>100*(1-((V436*W436)/(AVERAGE(D$422,D$416,D$400,D$414,D$402,D$407,D$409,D$430,D$436,D$428)*AVERAGE(E$422,E$416,E$400,E$414,E$402,E$407,E$409,E$430,E$436,E$428))))</f>
        <v>38.463336582014271</v>
      </c>
      <c r="AJ436" s="847">
        <f>100*100*((AVERAGE(E$422,E$416,E$400,E$414,E$402,E$407,E$409,E$430,E$436,E$428)-W436)/((100-W436)*AVERAGE(E$422,E$416,E$400,E$414,E$402,E$407,E$409,E$430,E$436,E$428)))</f>
        <v>30.392303180573379</v>
      </c>
      <c r="AK436" s="1023">
        <v>7.17</v>
      </c>
      <c r="AL436" s="1023">
        <v>35.299999999999997</v>
      </c>
      <c r="AM436" s="1071">
        <v>519</v>
      </c>
      <c r="AN436" s="334">
        <f t="shared" si="649"/>
        <v>60.480000000000004</v>
      </c>
      <c r="AO436" s="334">
        <f t="shared" si="650"/>
        <v>23.363095238095237</v>
      </c>
      <c r="AP436" s="1071">
        <v>206</v>
      </c>
      <c r="AQ436" s="348">
        <f t="shared" si="619"/>
        <v>11888.334375</v>
      </c>
      <c r="AR436" s="348">
        <f t="shared" si="651"/>
        <v>844.85624999999891</v>
      </c>
      <c r="AS436" s="512">
        <f t="shared" si="652"/>
        <v>35.202343749999955</v>
      </c>
      <c r="AT436" s="334">
        <f>AR436/(AVERAGE(AN436,AN437)*(AVERAGE(D$422,D$416,D$400,D$414,D$402,D$407,D$409,D$430,D$436,D$428))*AVERAGE(E$422,E$416,E$400,E$414,E$402,E$407,E$409,E$430,E$436,E$428)*0.0001)</f>
        <v>521.62553641613567</v>
      </c>
      <c r="AU436" s="334">
        <f>(AQ436-AQ430)/(AVERAGE(AN430:AN436)*((AVERAGE(D$422,D$416,D$400,D$414,D$402,D$407,D$409,D$430,D$436,D$428)*AVERAGE(E$422,E$416,E$400,E$414,E$402,E$407,E$409,E$430,E$436,E$428))-(V436*W436))*0.0001*(SUM(C430:C436)/24))</f>
        <v>908.7690156104569</v>
      </c>
      <c r="AV436" s="512">
        <f>AR436/(AVERAGE(AN437,AN436)*AVERAGE(D$422,D$416,D$400,D$414,D$402,D$407,D$409,D$430,D$436,D$428)*0.01)</f>
        <v>394.60971829880663</v>
      </c>
      <c r="AW436" s="848">
        <f t="shared" si="533"/>
        <v>0.59791666666666587</v>
      </c>
      <c r="AX436" s="1023">
        <v>67.3</v>
      </c>
      <c r="AY436" s="1023">
        <v>30.1</v>
      </c>
      <c r="AZ436" s="1023">
        <v>0</v>
      </c>
      <c r="BA436" s="1023">
        <v>12</v>
      </c>
      <c r="BB436" s="1023">
        <v>55</v>
      </c>
      <c r="BC436" s="1023"/>
      <c r="BD436" s="1023"/>
      <c r="BE436" s="1023"/>
      <c r="BF436" s="1023"/>
      <c r="BG436" s="1046">
        <v>2.56</v>
      </c>
      <c r="BH436" s="1046">
        <v>61.39</v>
      </c>
      <c r="BI436" s="1023"/>
      <c r="BJ436" s="1023"/>
      <c r="BK436" s="1023"/>
      <c r="BL436" s="1023"/>
      <c r="BM436" s="1023"/>
      <c r="BN436" s="1023"/>
      <c r="BO436" s="847">
        <f>D430*(100-E430)/(100-BH436)</f>
        <v>2.3364413364413359</v>
      </c>
      <c r="BP436" s="1055">
        <f>D430-BG436</f>
        <v>0.54</v>
      </c>
      <c r="BQ436" s="1056">
        <f>100*(AVERAGE(D$422,D$416,D$400,D$414,D$402,D$407,D$409,D$430,D$436,D$428)-BG436)/AVERAGE(D$422,D$416,D$400,D$414,D$402,D$407,D$409,D$430,D$436,D$428)</f>
        <v>27.683615819209049</v>
      </c>
      <c r="BR436" s="1056">
        <f>100*(1-((100-AVERAGE(E$422,E$416,E$400,E$414,E$402,E$407,E$409,E$430,E$436,E$428))/(100-BH436)))</f>
        <v>36.933436933436944</v>
      </c>
      <c r="BS436" s="1055">
        <f>E430-BH436</f>
        <v>9.5100000000000051</v>
      </c>
      <c r="BT436" s="1055">
        <f>100*(1-((BG436*BH436)/(AVERAGE(D$422,D$416,D$400,D$414,D$402,D$407,D$409,D$430,D$436,D$428)*AVERAGE(E$422,E$416,E$400,E$414,E$402,E$407,E$409,E$430,E$436,E$428))))</f>
        <v>41.315230338945717</v>
      </c>
      <c r="BU436" s="847">
        <f>100*100*((AVERAGE(E$422,E$416,E$400,E$414,E$402,E$407,E$409,E$430,E$436,E$428)-BH436)/((100-BH436)*AVERAGE(E$422,E$416,E$400,E$414,E$402,E$407,E$409,E$430,E$436,E$428)))</f>
        <v>48.82146322992326</v>
      </c>
      <c r="BV436" s="1023">
        <v>7.24</v>
      </c>
      <c r="BW436" s="1023">
        <v>50.7</v>
      </c>
      <c r="BX436" s="1023">
        <v>311</v>
      </c>
      <c r="BY436" s="1056">
        <f t="shared" si="653"/>
        <v>32</v>
      </c>
      <c r="BZ436" s="1056">
        <f t="shared" si="654"/>
        <v>23.3125</v>
      </c>
      <c r="CA436" s="1023">
        <v>124</v>
      </c>
      <c r="CB436" s="1057">
        <f t="shared" si="626"/>
        <v>26939.237499999999</v>
      </c>
      <c r="CC436" s="334">
        <f t="shared" si="655"/>
        <v>490.625</v>
      </c>
      <c r="CD436" s="334">
        <f t="shared" si="656"/>
        <v>20.442708333333332</v>
      </c>
      <c r="CE436" s="512">
        <f>CC436/(AVERAGE(BY437,BY436)*(AVERAGE(D$422,D$416,D$400,D$414,D$402,D$407,D$409,D$430,D$436,D$428))*AVERAGE(E$422,E$416,E$400,E$414,E$402,E$407,E$409,E$430,E$436,E$428)*0.0001)</f>
        <v>572.51583265185707</v>
      </c>
      <c r="CF436" s="334">
        <f>(CB436-CB430)/(AVERAGE(BY430:BY436)*((AVERAGE(D$422,D$416,D$400,D$414,D$402,D$407,D$409,D$430,D$436,D$428)*AVERAGE(E$422,E$416,E$400,E$414,E$402,E$407,E$409,E$430,E$436,E$428))-(BG436*BH436))*0.0001*(SUM(C430:C436)/24))</f>
        <v>989.80418869921152</v>
      </c>
      <c r="CG436" s="334">
        <f>CC436/(AVERAGE(BY436,BY437)*AVERAGE((D$422,D$416,D$400,D$414,D$402,D$407,D$409,D$430,D$436,D$428))*0.01)</f>
        <v>433.10822740112985</v>
      </c>
      <c r="CH436" s="848">
        <f t="shared" si="591"/>
        <v>0.6576742627345844</v>
      </c>
      <c r="CI436" s="1023">
        <v>67.400000000000006</v>
      </c>
      <c r="CJ436" s="1023">
        <v>31.6</v>
      </c>
      <c r="CK436" s="1023">
        <v>0</v>
      </c>
      <c r="CL436" s="1023">
        <v>51</v>
      </c>
      <c r="CM436" s="1023">
        <v>215</v>
      </c>
      <c r="CN436" s="1023"/>
    </row>
    <row r="437" spans="1:92" s="1024" customFormat="1">
      <c r="A437" s="1036">
        <f t="shared" si="585"/>
        <v>41592</v>
      </c>
      <c r="B437" s="1037">
        <v>0.33333333333333398</v>
      </c>
      <c r="C437" s="847">
        <f t="shared" si="657"/>
        <v>24</v>
      </c>
      <c r="D437" s="1023">
        <v>3.7</v>
      </c>
      <c r="E437" s="1023">
        <v>76.599999999999994</v>
      </c>
      <c r="F437" s="1023">
        <v>38000</v>
      </c>
      <c r="G437" s="1023"/>
      <c r="H437" s="1023"/>
      <c r="I437" s="1023">
        <v>4768</v>
      </c>
      <c r="J437" s="1023"/>
      <c r="K437" s="1023"/>
      <c r="L437" s="1023"/>
      <c r="M437" s="1023"/>
      <c r="N437" s="1023"/>
      <c r="O437" s="1023"/>
      <c r="P437" s="1023"/>
      <c r="Q437" s="1023"/>
      <c r="R437" s="1023"/>
      <c r="S437" s="1023"/>
      <c r="T437" s="1023"/>
      <c r="U437" s="1023"/>
      <c r="V437" s="1023">
        <v>2.5</v>
      </c>
      <c r="W437" s="1023">
        <v>66.7</v>
      </c>
      <c r="X437" s="1023">
        <v>24900</v>
      </c>
      <c r="Y437" s="1023"/>
      <c r="Z437" s="1023">
        <v>1625</v>
      </c>
      <c r="AA437" s="1023"/>
      <c r="AB437" s="1023"/>
      <c r="AC437" s="1023"/>
      <c r="AD437" s="1021">
        <f>D436*(100-E436)/(100-W437)</f>
        <v>2.0904744744744743</v>
      </c>
      <c r="AE437" s="1055">
        <f>D436-V437</f>
        <v>0.48</v>
      </c>
      <c r="AF437" s="847">
        <f>100*(AVERAGE(D$422,D$416,D$437,D$414,D$402,D$407,D$409,D$430,D$436,D$428)-V437)/AVERAGE(D$422,D$416,D$437,D$414,D$402,D$407,D$409,D$430,D$436,D$428)</f>
        <v>28.263988522238179</v>
      </c>
      <c r="AG437" s="847">
        <f>100*(1-((100-AVERAGE(E$422,E$416,E$437,E$414,E$402,E$407,E$409,E$430,E$436,E$428))/(100-W437)))</f>
        <v>27.43543543543543</v>
      </c>
      <c r="AH437" s="1055">
        <f>E436-W437</f>
        <v>9.9399999999999977</v>
      </c>
      <c r="AI437" s="847">
        <f>100*(1-((V437*W437)/(AVERAGE(D$422,D$416,D$437,D$414,D$402,D$407,D$409,D$430,D$436,D$428)*AVERAGE(E$422,E$416,E$437,E$414,E$402,E$407,E$409,E$430,E$436,E$428))))</f>
        <v>36.906060900275421</v>
      </c>
      <c r="AJ437" s="847">
        <f>100*100*((AVERAGE(E$422,E$416,E$437,E$414,E$402,E$407,E$409,E$430,E$436,E$428)-W437)/((100-W437)*AVERAGE(E$422,E$416,E$437,E$414,E$402,E$407,E$409,E$430,E$436,E$428)))</f>
        <v>36.177324008960689</v>
      </c>
      <c r="AK437" s="1023"/>
      <c r="AL437" s="1023">
        <v>35.299999999999997</v>
      </c>
      <c r="AM437" s="1071">
        <v>547</v>
      </c>
      <c r="AN437" s="334">
        <f t="shared" si="649"/>
        <v>60.480000000000004</v>
      </c>
      <c r="AO437" s="334">
        <f t="shared" si="650"/>
        <v>23.363095238095237</v>
      </c>
      <c r="AP437" s="1071">
        <v>220</v>
      </c>
      <c r="AQ437" s="348">
        <f t="shared" si="619"/>
        <v>12733.190625000001</v>
      </c>
      <c r="AR437" s="348">
        <f t="shared" si="651"/>
        <v>844.85625000000073</v>
      </c>
      <c r="AS437" s="512">
        <f t="shared" si="652"/>
        <v>35.202343750000033</v>
      </c>
      <c r="AT437" s="334">
        <f>AR437/(AVERAGE(AN437,AN438)*(AVERAGE(D$422,D$416,D$437,D$414,D$402,D$407,D$409,D$430,D$436,D$428))*AVERAGE(E$422,E$416,E$437,E$414,E$402,E$407,E$409,E$430,E$436,E$428)*0.0001)</f>
        <v>519.28527729820996</v>
      </c>
      <c r="AU437" s="334">
        <f>(AQ437-AQ431)/(AVERAGE(AN431:AN437)*((AVERAGE(D$422,D$416,D$437,D$414,D$402,D$407,D$409,D$430,D$436,D$428)*AVERAGE(E$422,E$416,E$437,E$414,E$402,E$407,E$409,E$430,E$436,E$428))-(V437*W437))*0.0001*(SUM(C431:C437)/24))</f>
        <v>1063.0554210082234</v>
      </c>
      <c r="AV437" s="512">
        <f>AR437/(AVERAGE(AN438,AN437)*AVERAGE(D$422,D$416,D$437,D$414,D$402,D$407,D$409,D$430,D$436,D$428)*0.01)</f>
        <v>393.80518289187046</v>
      </c>
      <c r="AW437" s="848">
        <f t="shared" si="533"/>
        <v>0.59791666666666721</v>
      </c>
      <c r="AX437" s="1023"/>
      <c r="AY437" s="1023"/>
      <c r="AZ437" s="1023"/>
      <c r="BA437" s="1023"/>
      <c r="BB437" s="1023"/>
      <c r="BC437" s="1023"/>
      <c r="BD437" s="1023"/>
      <c r="BE437" s="1023"/>
      <c r="BF437" s="1023"/>
      <c r="BG437" s="1023">
        <v>2.6</v>
      </c>
      <c r="BH437" s="1023">
        <v>61.6</v>
      </c>
      <c r="BI437" s="1023">
        <v>24500</v>
      </c>
      <c r="BJ437" s="1023"/>
      <c r="BK437" s="1023">
        <v>3352</v>
      </c>
      <c r="BL437" s="1023"/>
      <c r="BM437" s="1023"/>
      <c r="BN437" s="1023"/>
      <c r="BO437" s="847">
        <f>D436*(100-E436)/(100-BH437)</f>
        <v>1.8128333333333333</v>
      </c>
      <c r="BP437" s="1055">
        <f>D436-BG437</f>
        <v>0.37999999999999989</v>
      </c>
      <c r="BQ437" s="1056">
        <f>100*(AVERAGE(D$422,D$416,D$437,D$414,D$402,D$407,D$409,D$430,D$436,D$428)-BG437)/AVERAGE(D$422,D$416,D$437,D$414,D$402,D$407,D$409,D$430,D$436,D$428)</f>
        <v>25.394548063127704</v>
      </c>
      <c r="BR437" s="1056">
        <f>100*(1-((100-AVERAGE(E$422,E$416,E$437,E$414,E$402,E$407,E$409,E$430,E$436,E$428))/(100-BH437)))</f>
        <v>37.072916666666657</v>
      </c>
      <c r="BS437" s="1055">
        <f>E436-BH437</f>
        <v>15.04</v>
      </c>
      <c r="BT437" s="1055">
        <f>100*(1-((BG437*BH437)/(AVERAGE(D$422,D$416,D$437,D$414,D$402,D$407,D$409,D$430,D$436,D$428)*AVERAGE(E$422,E$416,E$437,E$414,E$402,E$407,E$409,E$430,E$436,E$428))))</f>
        <v>39.399548508474425</v>
      </c>
      <c r="BU437" s="847">
        <f>100*100*((AVERAGE(E$422,E$416,E$437,E$414,E$402,E$407,E$409,E$430,E$436,E$428)-BH437)/((100-BH437)*AVERAGE(E$422,E$416,E$437,E$414,E$402,E$407,E$409,E$430,E$436,E$428)))</f>
        <v>48.885643581764157</v>
      </c>
      <c r="BV437" s="1023"/>
      <c r="BW437" s="1023">
        <v>50.4</v>
      </c>
      <c r="BX437" s="1023">
        <v>327</v>
      </c>
      <c r="BY437" s="1056">
        <f t="shared" si="653"/>
        <v>32</v>
      </c>
      <c r="BZ437" s="1056">
        <f t="shared" si="654"/>
        <v>23.3125</v>
      </c>
      <c r="CA437" s="1023">
        <v>133</v>
      </c>
      <c r="CB437" s="1057">
        <f t="shared" si="626"/>
        <v>27491.190624999999</v>
      </c>
      <c r="CC437" s="334">
        <f t="shared" si="655"/>
        <v>551.953125</v>
      </c>
      <c r="CD437" s="334">
        <f t="shared" si="656"/>
        <v>22.998046875</v>
      </c>
      <c r="CE437" s="512">
        <f>CC437/(AVERAGE(BY438,BY437)*(AVERAGE(D$422,D$416,D$437,D$414,D$402,D$407,D$409,D$430,D$436,D$428))*AVERAGE(E$422,E$416,E$437,E$414,E$402,E$407,E$409,E$430,E$436,E$428)*0.0001)</f>
        <v>673.69341499545715</v>
      </c>
      <c r="CF437" s="334">
        <f>(CB437-CB431)/(AVERAGE(BY431:BY437)*((AVERAGE(D$422,D$416,D$437,D$414,D$402,D$407,D$409,D$430,D$436,D$428)*AVERAGE(E$422,E$416,E$437,E$414,E$402,E$407,E$409,E$430,E$436,E$428))-(BG437*BH437))*0.0001*(SUM(C431:C437)/24))</f>
        <v>1172.719957925897</v>
      </c>
      <c r="CG437" s="334">
        <f>CC437/(AVERAGE(BY437,BY438)*AVERAGE((D$422,D$416,D$437,D$414,D$402,D$407,D$409,D$430,D$436,D$428))*0.01)</f>
        <v>510.90213819595482</v>
      </c>
      <c r="CH437" s="848">
        <f t="shared" si="591"/>
        <v>0.73988354557640745</v>
      </c>
      <c r="CI437" s="1023"/>
      <c r="CJ437" s="1023"/>
      <c r="CK437" s="1023"/>
      <c r="CL437" s="1023"/>
      <c r="CM437" s="1023"/>
      <c r="CN437" s="1023"/>
    </row>
    <row r="438" spans="1:92" s="1045" customFormat="1">
      <c r="A438" s="1034">
        <f t="shared" si="585"/>
        <v>41593</v>
      </c>
      <c r="B438" s="1035">
        <v>0.33333333333333398</v>
      </c>
      <c r="C438" s="854">
        <f t="shared" si="657"/>
        <v>24</v>
      </c>
      <c r="D438" s="1044"/>
      <c r="E438" s="1044"/>
      <c r="F438" s="1044"/>
      <c r="G438" s="1044"/>
      <c r="H438" s="1044"/>
      <c r="I438" s="1044"/>
      <c r="J438" s="1044"/>
      <c r="K438" s="1044"/>
      <c r="L438" s="1044"/>
      <c r="M438" s="1044">
        <v>58</v>
      </c>
      <c r="N438" s="1044">
        <v>85</v>
      </c>
      <c r="O438" s="1044"/>
      <c r="P438" s="1044"/>
      <c r="Q438" s="1044"/>
      <c r="R438" s="1044"/>
      <c r="S438" s="1044"/>
      <c r="T438" s="1044"/>
      <c r="U438" s="1044"/>
      <c r="V438" s="1044"/>
      <c r="W438" s="1044"/>
      <c r="X438" s="1044"/>
      <c r="Y438" s="1044"/>
      <c r="Z438" s="1044"/>
      <c r="AA438" s="1044"/>
      <c r="AB438" s="1044"/>
      <c r="AC438" s="1044"/>
      <c r="AD438" s="1044"/>
      <c r="AE438" s="1044"/>
      <c r="AF438" s="1044"/>
      <c r="AG438" s="1044"/>
      <c r="AH438" s="1044"/>
      <c r="AI438" s="1044"/>
      <c r="AJ438" s="1044"/>
      <c r="AK438" s="1044"/>
      <c r="AL438" s="1044">
        <v>35.200000000000003</v>
      </c>
      <c r="AM438" s="1068">
        <v>576</v>
      </c>
      <c r="AN438" s="208">
        <f t="shared" si="649"/>
        <v>62.64</v>
      </c>
      <c r="AO438" s="208">
        <f t="shared" si="650"/>
        <v>22.557471264367816</v>
      </c>
      <c r="AP438" s="1068">
        <v>235</v>
      </c>
      <c r="AQ438" s="76">
        <f t="shared" si="619"/>
        <v>13638.393750000001</v>
      </c>
      <c r="AR438" s="76">
        <f t="shared" si="651"/>
        <v>905.203125</v>
      </c>
      <c r="AS438" s="230">
        <f t="shared" si="652"/>
        <v>37.716796875</v>
      </c>
      <c r="AT438" s="208">
        <f t="shared" ref="AT438:AT442" si="658">AR438/(AVERAGE(AN438,AN439)*(AVERAGE(D$422,D$416,D$437,D$414,D$402,D$407,D$409,D$430,D$436,D$428))*AVERAGE(E$422,E$416,E$437,E$414,E$402,E$407,E$409,E$430,E$436,E$428)*0.0001)</f>
        <v>546.78437449503576</v>
      </c>
      <c r="AU438" s="1058"/>
      <c r="AV438" s="230">
        <f t="shared" ref="AV438:AV442" si="659">AR438/(AVERAGE(AN439,AN438)*AVERAGE(D$422,D$416,D$437,D$414,D$402,D$407,D$409,D$430,D$436,D$428)*0.01)</f>
        <v>414.65939824205537</v>
      </c>
      <c r="AW438" s="855">
        <f t="shared" si="533"/>
        <v>0.640625</v>
      </c>
      <c r="AX438" s="1044"/>
      <c r="AY438" s="1044"/>
      <c r="AZ438" s="1044"/>
      <c r="BA438" s="1044"/>
      <c r="BB438" s="1044"/>
      <c r="BC438" s="1044"/>
      <c r="BD438" s="1044"/>
      <c r="BE438" s="1044"/>
      <c r="BF438" s="1044"/>
      <c r="BG438" s="1044"/>
      <c r="BH438" s="1044"/>
      <c r="BI438" s="1044"/>
      <c r="BJ438" s="1044"/>
      <c r="BK438" s="1044"/>
      <c r="BL438" s="1044"/>
      <c r="BM438" s="1044"/>
      <c r="BN438" s="1044"/>
      <c r="BO438" s="1044"/>
      <c r="BP438" s="1044"/>
      <c r="BQ438" s="1044"/>
      <c r="BR438" s="1044"/>
      <c r="BS438" s="1044"/>
      <c r="BT438" s="1044"/>
      <c r="BU438" s="1044"/>
      <c r="BV438" s="1044"/>
      <c r="BW438" s="1044">
        <v>50.5</v>
      </c>
      <c r="BX438" s="1044">
        <v>342</v>
      </c>
      <c r="BY438" s="1054">
        <f t="shared" si="653"/>
        <v>30</v>
      </c>
      <c r="BZ438" s="1054">
        <f t="shared" si="654"/>
        <v>24.866666666666667</v>
      </c>
      <c r="CA438" s="1044">
        <v>142</v>
      </c>
      <c r="CB438" s="1047">
        <f t="shared" si="626"/>
        <v>28043.143749999999</v>
      </c>
      <c r="CC438" s="208">
        <f t="shared" si="655"/>
        <v>551.953125</v>
      </c>
      <c r="CD438" s="208">
        <f t="shared" si="656"/>
        <v>22.998046875</v>
      </c>
      <c r="CE438" s="230">
        <f t="shared" ref="CE438:CE442" si="660">CC438/(AVERAGE(BY439,BY438)*(AVERAGE(D$422,D$416,D$437,D$414,D$402,D$407,D$409,D$430,D$436,D$428))*AVERAGE(E$422,E$416,E$437,E$414,E$402,E$407,E$409,E$430,E$436,E$428)*0.0001)</f>
        <v>673.69341499545715</v>
      </c>
      <c r="CF438" s="1058"/>
      <c r="CG438" s="208">
        <f>CC438/(AVERAGE(BY438,BY439)*AVERAGE((D$422,D$416,D$437,D$414,D$402,D$407,D$409,D$430,D$436,D$428))*0.01)</f>
        <v>510.90213819595482</v>
      </c>
      <c r="CH438" s="855">
        <f t="shared" si="591"/>
        <v>0.73988354557640745</v>
      </c>
      <c r="CI438" s="1044"/>
      <c r="CJ438" s="1044"/>
      <c r="CK438" s="1044"/>
      <c r="CL438" s="1044"/>
      <c r="CM438" s="1044"/>
      <c r="CN438" s="1044"/>
    </row>
    <row r="439" spans="1:92" s="1045" customFormat="1">
      <c r="A439" s="1034">
        <f t="shared" si="585"/>
        <v>41594</v>
      </c>
      <c r="B439" s="1035">
        <v>0.33333333333333398</v>
      </c>
      <c r="C439" s="854">
        <f t="shared" si="657"/>
        <v>24</v>
      </c>
      <c r="D439" s="1044"/>
      <c r="E439" s="1044"/>
      <c r="F439" s="1044"/>
      <c r="G439" s="1044"/>
      <c r="H439" s="1044"/>
      <c r="I439" s="1044"/>
      <c r="J439" s="1044"/>
      <c r="K439" s="1044"/>
      <c r="L439" s="1044"/>
      <c r="M439" s="1044"/>
      <c r="N439" s="1044"/>
      <c r="O439" s="1044"/>
      <c r="P439" s="1044"/>
      <c r="Q439" s="1044"/>
      <c r="R439" s="1044"/>
      <c r="S439" s="1044"/>
      <c r="T439" s="1044"/>
      <c r="U439" s="1044"/>
      <c r="V439" s="1044"/>
      <c r="W439" s="1044"/>
      <c r="X439" s="1044"/>
      <c r="Y439" s="1044"/>
      <c r="Z439" s="1044"/>
      <c r="AA439" s="1044"/>
      <c r="AB439" s="1044"/>
      <c r="AC439" s="1044"/>
      <c r="AD439" s="1044"/>
      <c r="AE439" s="1044"/>
      <c r="AF439" s="1044"/>
      <c r="AG439" s="1044"/>
      <c r="AH439" s="1044"/>
      <c r="AI439" s="1044"/>
      <c r="AJ439" s="1044"/>
      <c r="AK439" s="1044"/>
      <c r="AL439" s="1044">
        <v>35.200000000000003</v>
      </c>
      <c r="AM439" s="1068">
        <v>605</v>
      </c>
      <c r="AN439" s="208">
        <f t="shared" si="649"/>
        <v>62.64</v>
      </c>
      <c r="AO439" s="208">
        <f t="shared" si="650"/>
        <v>22.557471264367816</v>
      </c>
      <c r="AP439" s="1068">
        <v>249</v>
      </c>
      <c r="AQ439" s="76">
        <f t="shared" si="619"/>
        <v>14483.250000000002</v>
      </c>
      <c r="AR439" s="76">
        <f t="shared" si="651"/>
        <v>844.85625000000073</v>
      </c>
      <c r="AS439" s="230">
        <f t="shared" si="652"/>
        <v>35.202343750000033</v>
      </c>
      <c r="AT439" s="208">
        <f t="shared" si="658"/>
        <v>528.55822867853499</v>
      </c>
      <c r="AU439" s="1058"/>
      <c r="AV439" s="230">
        <f t="shared" si="659"/>
        <v>400.83741830065378</v>
      </c>
      <c r="AW439" s="855">
        <f t="shared" si="533"/>
        <v>0.59791666666666721</v>
      </c>
      <c r="AX439" s="1044"/>
      <c r="AY439" s="1044"/>
      <c r="AZ439" s="1044"/>
      <c r="BA439" s="1044"/>
      <c r="BB439" s="1044"/>
      <c r="BC439" s="1044"/>
      <c r="BD439" s="1044"/>
      <c r="BE439" s="1044"/>
      <c r="BF439" s="1044"/>
      <c r="BG439" s="1044"/>
      <c r="BH439" s="1044"/>
      <c r="BI439" s="1044"/>
      <c r="BJ439" s="1044"/>
      <c r="BK439" s="1044"/>
      <c r="BL439" s="1044"/>
      <c r="BM439" s="1044"/>
      <c r="BN439" s="1044"/>
      <c r="BO439" s="1044"/>
      <c r="BP439" s="1044"/>
      <c r="BQ439" s="1044"/>
      <c r="BR439" s="1044"/>
      <c r="BS439" s="1044"/>
      <c r="BT439" s="1044"/>
      <c r="BU439" s="1044"/>
      <c r="BV439" s="1044"/>
      <c r="BW439" s="1044">
        <v>50.4</v>
      </c>
      <c r="BX439" s="1044">
        <v>358</v>
      </c>
      <c r="BY439" s="1054">
        <f t="shared" si="653"/>
        <v>32</v>
      </c>
      <c r="BZ439" s="1054">
        <f t="shared" si="654"/>
        <v>23.3125</v>
      </c>
      <c r="CA439" s="1044">
        <v>151</v>
      </c>
      <c r="CB439" s="1047">
        <f t="shared" si="626"/>
        <v>28595.096874999999</v>
      </c>
      <c r="CC439" s="208">
        <f t="shared" si="655"/>
        <v>551.953125</v>
      </c>
      <c r="CD439" s="208">
        <f t="shared" si="656"/>
        <v>22.998046875</v>
      </c>
      <c r="CE439" s="230">
        <f t="shared" si="660"/>
        <v>673.69341499545715</v>
      </c>
      <c r="CF439" s="1058"/>
      <c r="CG439" s="208">
        <f>CC439/(AVERAGE(BY439,BY440)*AVERAGE((D$422,D$416,D$437,D$414,D$402,D$407,D$409,D$430,D$436,D$428))*0.01)</f>
        <v>510.90213819595482</v>
      </c>
      <c r="CH439" s="855">
        <f t="shared" si="591"/>
        <v>0.73988354557640745</v>
      </c>
      <c r="CI439" s="1044"/>
      <c r="CJ439" s="1044"/>
      <c r="CK439" s="1044"/>
      <c r="CL439" s="1044"/>
      <c r="CM439" s="1044"/>
      <c r="CN439" s="1044"/>
    </row>
    <row r="440" spans="1:92" s="1063" customFormat="1">
      <c r="A440" s="1034">
        <f t="shared" si="585"/>
        <v>41595</v>
      </c>
      <c r="B440" s="1035">
        <v>0.33333333333333398</v>
      </c>
      <c r="C440" s="854">
        <f t="shared" si="657"/>
        <v>24</v>
      </c>
      <c r="D440" s="1060"/>
      <c r="E440" s="1060"/>
      <c r="F440" s="1060"/>
      <c r="G440" s="1060"/>
      <c r="H440" s="1060"/>
      <c r="I440" s="1060"/>
      <c r="J440" s="1060"/>
      <c r="K440" s="1060"/>
      <c r="L440" s="1060"/>
      <c r="M440" s="1060">
        <v>55</v>
      </c>
      <c r="N440" s="1060">
        <v>85</v>
      </c>
      <c r="O440" s="1060"/>
      <c r="P440" s="1060"/>
      <c r="Q440" s="1060"/>
      <c r="R440" s="1060"/>
      <c r="S440" s="1060"/>
      <c r="T440" s="1060"/>
      <c r="U440" s="1060"/>
      <c r="V440" s="1060"/>
      <c r="W440" s="1060"/>
      <c r="X440" s="1060"/>
      <c r="Y440" s="1060"/>
      <c r="Z440" s="1060"/>
      <c r="AA440" s="1060"/>
      <c r="AB440" s="1060"/>
      <c r="AC440" s="1060"/>
      <c r="AD440" s="1060"/>
      <c r="AE440" s="1060"/>
      <c r="AF440" s="1060"/>
      <c r="AG440" s="1060"/>
      <c r="AH440" s="1060"/>
      <c r="AI440" s="1060"/>
      <c r="AJ440" s="1060"/>
      <c r="AK440" s="1060"/>
      <c r="AL440" s="1060">
        <v>35.299999999999997</v>
      </c>
      <c r="AM440" s="486">
        <v>632</v>
      </c>
      <c r="AN440" s="208">
        <f t="shared" si="649"/>
        <v>58.320000000000007</v>
      </c>
      <c r="AO440" s="208">
        <f t="shared" si="650"/>
        <v>24.228395061728392</v>
      </c>
      <c r="AP440" s="486">
        <v>265</v>
      </c>
      <c r="AQ440" s="76">
        <f t="shared" si="619"/>
        <v>15448.800000000001</v>
      </c>
      <c r="AR440" s="76">
        <f t="shared" si="651"/>
        <v>965.54999999999927</v>
      </c>
      <c r="AS440" s="230">
        <f t="shared" si="652"/>
        <v>40.231249999999967</v>
      </c>
      <c r="AT440" s="208">
        <f t="shared" si="658"/>
        <v>615.04957518956701</v>
      </c>
      <c r="AU440" s="1062"/>
      <c r="AV440" s="230">
        <f t="shared" si="659"/>
        <v>466.42899584076002</v>
      </c>
      <c r="AW440" s="855">
        <f t="shared" si="533"/>
        <v>0.68333333333333279</v>
      </c>
      <c r="AX440" s="1060"/>
      <c r="AY440" s="1060"/>
      <c r="AZ440" s="1060"/>
      <c r="BA440" s="1060"/>
      <c r="BB440" s="1060"/>
      <c r="BC440" s="1060"/>
      <c r="BD440" s="1060"/>
      <c r="BE440" s="1060"/>
      <c r="BF440" s="1060"/>
      <c r="BG440" s="1060"/>
      <c r="BH440" s="1060"/>
      <c r="BI440" s="1060"/>
      <c r="BJ440" s="1060"/>
      <c r="BK440" s="1060"/>
      <c r="BL440" s="1060"/>
      <c r="BM440" s="1060"/>
      <c r="BN440" s="1060"/>
      <c r="BO440" s="1060"/>
      <c r="BP440" s="1060"/>
      <c r="BQ440" s="1060"/>
      <c r="BR440" s="1060"/>
      <c r="BS440" s="1060"/>
      <c r="BT440" s="1060"/>
      <c r="BU440" s="1060"/>
      <c r="BV440" s="1060"/>
      <c r="BW440" s="1060">
        <v>50.6</v>
      </c>
      <c r="BX440" s="1060">
        <v>373</v>
      </c>
      <c r="BY440" s="1054">
        <f t="shared" si="653"/>
        <v>30</v>
      </c>
      <c r="BZ440" s="1054">
        <f t="shared" si="654"/>
        <v>24.866666666666667</v>
      </c>
      <c r="CA440" s="1060">
        <v>160</v>
      </c>
      <c r="CB440" s="1061">
        <f t="shared" si="626"/>
        <v>29147.05</v>
      </c>
      <c r="CC440" s="208">
        <f t="shared" si="655"/>
        <v>551.953125</v>
      </c>
      <c r="CD440" s="208">
        <f t="shared" si="656"/>
        <v>22.998046875</v>
      </c>
      <c r="CE440" s="230">
        <f t="shared" si="660"/>
        <v>673.69341499545715</v>
      </c>
      <c r="CF440" s="1062"/>
      <c r="CG440" s="208">
        <f>CC440/(AVERAGE(BY440,BY441)*AVERAGE((D$422,D$416,D$437,D$414,D$402,D$407,D$409,D$430,D$436,D$428))*0.01)</f>
        <v>510.90213819595482</v>
      </c>
      <c r="CH440" s="855">
        <f t="shared" si="591"/>
        <v>0.73988354557640745</v>
      </c>
      <c r="CI440" s="1060"/>
      <c r="CJ440" s="1060"/>
      <c r="CK440" s="1060"/>
      <c r="CL440" s="1060"/>
      <c r="CM440" s="1060"/>
      <c r="CN440" s="1060"/>
    </row>
    <row r="441" spans="1:92" s="1063" customFormat="1">
      <c r="A441" s="1034">
        <f t="shared" si="585"/>
        <v>41596</v>
      </c>
      <c r="B441" s="1035">
        <v>0.33333333333333398</v>
      </c>
      <c r="C441" s="854">
        <f t="shared" si="657"/>
        <v>24</v>
      </c>
      <c r="D441" s="1060"/>
      <c r="E441" s="1060"/>
      <c r="F441" s="1060"/>
      <c r="G441" s="1060"/>
      <c r="H441" s="1060"/>
      <c r="I441" s="1060"/>
      <c r="J441" s="1060"/>
      <c r="K441" s="1060"/>
      <c r="L441" s="1060"/>
      <c r="M441" s="1060"/>
      <c r="N441" s="1060"/>
      <c r="O441" s="1060"/>
      <c r="P441" s="1060"/>
      <c r="Q441" s="1060"/>
      <c r="R441" s="1060"/>
      <c r="S441" s="1060"/>
      <c r="T441" s="1060"/>
      <c r="U441" s="1060"/>
      <c r="V441" s="1060"/>
      <c r="W441" s="1060"/>
      <c r="X441" s="1060"/>
      <c r="Y441" s="1060"/>
      <c r="Z441" s="1060"/>
      <c r="AA441" s="1060"/>
      <c r="AB441" s="1060"/>
      <c r="AC441" s="1060"/>
      <c r="AD441" s="1060"/>
      <c r="AE441" s="1060"/>
      <c r="AF441" s="1060"/>
      <c r="AG441" s="1060"/>
      <c r="AH441" s="1060"/>
      <c r="AI441" s="1060"/>
      <c r="AJ441" s="1060"/>
      <c r="AK441" s="1060"/>
      <c r="AL441" s="1060">
        <v>35.200000000000003</v>
      </c>
      <c r="AM441" s="486">
        <v>660</v>
      </c>
      <c r="AN441" s="208">
        <f t="shared" si="649"/>
        <v>60.480000000000004</v>
      </c>
      <c r="AO441" s="208">
        <f t="shared" si="650"/>
        <v>23.363095238095237</v>
      </c>
      <c r="AP441" s="486">
        <v>280</v>
      </c>
      <c r="AQ441" s="76">
        <f t="shared" si="619"/>
        <v>16354.003125000001</v>
      </c>
      <c r="AR441" s="76">
        <f t="shared" si="651"/>
        <v>905.203125</v>
      </c>
      <c r="AS441" s="230">
        <f t="shared" si="652"/>
        <v>37.716796875</v>
      </c>
      <c r="AT441" s="208">
        <f t="shared" si="658"/>
        <v>556.37708281951018</v>
      </c>
      <c r="AU441" s="1062"/>
      <c r="AV441" s="230">
        <f t="shared" si="659"/>
        <v>421.93412452700369</v>
      </c>
      <c r="AW441" s="855">
        <f t="shared" si="533"/>
        <v>0.640625</v>
      </c>
      <c r="AX441" s="1060"/>
      <c r="AY441" s="1060"/>
      <c r="AZ441" s="1060"/>
      <c r="BA441" s="1060"/>
      <c r="BB441" s="1060"/>
      <c r="BC441" s="1060"/>
      <c r="BD441" s="1060"/>
      <c r="BE441" s="1060"/>
      <c r="BF441" s="1066"/>
      <c r="BG441" s="1060"/>
      <c r="BH441" s="1060"/>
      <c r="BI441" s="1060"/>
      <c r="BJ441" s="1060"/>
      <c r="BK441" s="1060"/>
      <c r="BL441" s="1060"/>
      <c r="BM441" s="1060"/>
      <c r="BN441" s="1060"/>
      <c r="BO441" s="1060"/>
      <c r="BP441" s="1060"/>
      <c r="BQ441" s="1060"/>
      <c r="BR441" s="1060"/>
      <c r="BS441" s="1060"/>
      <c r="BT441" s="1060"/>
      <c r="BU441" s="1060"/>
      <c r="BV441" s="1060"/>
      <c r="BW441" s="1060">
        <v>50.6</v>
      </c>
      <c r="BX441" s="1060">
        <v>389</v>
      </c>
      <c r="BY441" s="1054">
        <f t="shared" si="653"/>
        <v>32</v>
      </c>
      <c r="BZ441" s="1054">
        <f t="shared" si="654"/>
        <v>23.3125</v>
      </c>
      <c r="CA441" s="1060">
        <v>168</v>
      </c>
      <c r="CB441" s="1061">
        <f t="shared" si="626"/>
        <v>29637.674999999999</v>
      </c>
      <c r="CC441" s="208">
        <f t="shared" si="655"/>
        <v>490.625</v>
      </c>
      <c r="CD441" s="208">
        <f t="shared" si="656"/>
        <v>20.442708333333332</v>
      </c>
      <c r="CE441" s="230">
        <f t="shared" si="660"/>
        <v>545.99989189174312</v>
      </c>
      <c r="CF441" s="1062"/>
      <c r="CG441" s="208">
        <f>CC441/(AVERAGE(BY441,BY442)*AVERAGE((D$422,D$416,D$437,D$414,D$402,D$407,D$409,D$430,D$436,D$428))*0.01)</f>
        <v>414.06447801502225</v>
      </c>
      <c r="CH441" s="855">
        <f t="shared" si="591"/>
        <v>0.6576742627345844</v>
      </c>
      <c r="CI441" s="1060"/>
      <c r="CJ441" s="1060"/>
      <c r="CK441" s="1060"/>
      <c r="CL441" s="1060"/>
      <c r="CM441" s="1060"/>
      <c r="CN441" s="1060"/>
    </row>
    <row r="442" spans="1:92" s="1063" customFormat="1">
      <c r="A442" s="1034">
        <f t="shared" si="585"/>
        <v>41597</v>
      </c>
      <c r="B442" s="1035">
        <v>0.33333333333333398</v>
      </c>
      <c r="C442" s="854">
        <f t="shared" si="657"/>
        <v>24</v>
      </c>
      <c r="D442" s="1060"/>
      <c r="E442" s="1060"/>
      <c r="F442" s="1060"/>
      <c r="G442" s="1060"/>
      <c r="H442" s="1060"/>
      <c r="I442" s="1060"/>
      <c r="J442" s="1060"/>
      <c r="K442" s="1060"/>
      <c r="L442" s="1060"/>
      <c r="M442" s="1060">
        <v>55</v>
      </c>
      <c r="N442" s="1060">
        <v>85</v>
      </c>
      <c r="O442" s="1060"/>
      <c r="P442" s="1060"/>
      <c r="Q442" s="1060"/>
      <c r="R442" s="1060"/>
      <c r="S442" s="1060"/>
      <c r="T442" s="1060"/>
      <c r="U442" s="1060"/>
      <c r="V442" s="1060"/>
      <c r="W442" s="1060"/>
      <c r="X442" s="1060"/>
      <c r="Y442" s="1060"/>
      <c r="Z442" s="1060"/>
      <c r="AA442" s="1060"/>
      <c r="AB442" s="1060"/>
      <c r="AC442" s="1060"/>
      <c r="AD442" s="1060"/>
      <c r="AE442" s="1060"/>
      <c r="AF442" s="1060"/>
      <c r="AG442" s="1060"/>
      <c r="AH442" s="1060"/>
      <c r="AI442" s="1060"/>
      <c r="AJ442" s="1060"/>
      <c r="AK442" s="1060"/>
      <c r="AL442" s="1060">
        <v>35.200000000000003</v>
      </c>
      <c r="AM442" s="486">
        <v>689</v>
      </c>
      <c r="AN442" s="208">
        <f t="shared" ref="AN442:AN449" si="661">(AM442-AM441)*AQ$1/((C441)/24)</f>
        <v>62.64</v>
      </c>
      <c r="AO442" s="208">
        <f t="shared" ref="AO442:AO449" si="662">AQ$3/AN442</f>
        <v>22.557471264367816</v>
      </c>
      <c r="AP442" s="486">
        <v>291</v>
      </c>
      <c r="AQ442" s="76">
        <f t="shared" si="619"/>
        <v>17017.818750000002</v>
      </c>
      <c r="AR442" s="76">
        <f t="shared" ref="AR442:AR449" si="663">(AQ442-AQ441)/(C442/24)</f>
        <v>663.81562500000109</v>
      </c>
      <c r="AS442" s="230">
        <f t="shared" ref="AS442:AS449" si="664">(AQ442-AQ441)/C442</f>
        <v>27.658984375000045</v>
      </c>
      <c r="AT442" s="208">
        <f t="shared" si="658"/>
        <v>430.67707521954742</v>
      </c>
      <c r="AU442" s="1062"/>
      <c r="AV442" s="230">
        <f t="shared" si="659"/>
        <v>326.60826676349598</v>
      </c>
      <c r="AW442" s="855">
        <f t="shared" si="533"/>
        <v>0.46979166666666744</v>
      </c>
      <c r="AX442" s="1060"/>
      <c r="AY442" s="1060"/>
      <c r="AZ442" s="1060"/>
      <c r="BA442" s="1060"/>
      <c r="BB442" s="1060"/>
      <c r="BC442" s="1060"/>
      <c r="BD442" s="1060"/>
      <c r="BE442" s="1060"/>
      <c r="BF442" s="1066"/>
      <c r="BG442" s="1060"/>
      <c r="BH442" s="1060"/>
      <c r="BI442" s="1060"/>
      <c r="BJ442" s="1060"/>
      <c r="BK442" s="1060"/>
      <c r="BL442" s="1060"/>
      <c r="BM442" s="1060"/>
      <c r="BN442" s="1060"/>
      <c r="BO442" s="1060"/>
      <c r="BP442" s="1060"/>
      <c r="BQ442" s="1060"/>
      <c r="BR442" s="1060"/>
      <c r="BS442" s="1060"/>
      <c r="BT442" s="1060"/>
      <c r="BU442" s="1060"/>
      <c r="BV442" s="1060"/>
      <c r="BW442" s="1060">
        <v>50.5</v>
      </c>
      <c r="BX442" s="1060">
        <v>407</v>
      </c>
      <c r="BY442" s="1054">
        <f t="shared" ref="BY442:BY449" si="665">(BX442-BX441)*CB$1/((C442)/24)</f>
        <v>36</v>
      </c>
      <c r="BZ442" s="1054">
        <f t="shared" ref="BZ442:BZ449" si="666">CB$3/BY442</f>
        <v>20.722222222222221</v>
      </c>
      <c r="CA442" s="1060">
        <v>175</v>
      </c>
      <c r="CB442" s="1061">
        <f t="shared" ref="CB442:CB488" si="667">((CA442-CA$55)*CB$2)+CB$55</f>
        <v>30066.971874999999</v>
      </c>
      <c r="CC442" s="208">
        <f t="shared" ref="CC442:CC449" si="668">(CB442-CB441)/((C442/24))</f>
        <v>429.296875</v>
      </c>
      <c r="CD442" s="208">
        <f t="shared" ref="CD442:CD449" si="669">(CB442-CB441)/(C442)</f>
        <v>17.887369791666668</v>
      </c>
      <c r="CE442" s="230">
        <f t="shared" si="660"/>
        <v>507.60927449310486</v>
      </c>
      <c r="CF442" s="1062"/>
      <c r="CG442" s="208">
        <f>CC442/(AVERAGE(BY442,BY443)*AVERAGE((D$422,D$416,D$437,D$414,D$402,D$407,D$409,D$430,D$436,D$428))*0.01)</f>
        <v>384.95056940459102</v>
      </c>
      <c r="CH442" s="855">
        <f t="shared" si="591"/>
        <v>0.57546497989276135</v>
      </c>
      <c r="CI442" s="1060"/>
      <c r="CJ442" s="1060"/>
      <c r="CK442" s="1060"/>
      <c r="CL442" s="1060"/>
      <c r="CM442" s="1060"/>
      <c r="CN442" s="1060"/>
    </row>
    <row r="443" spans="1:92" s="1065" customFormat="1">
      <c r="A443" s="1036">
        <f t="shared" si="585"/>
        <v>41598</v>
      </c>
      <c r="B443" s="1037">
        <v>0.33333333333333398</v>
      </c>
      <c r="C443" s="847">
        <f t="shared" ref="C443:C448" si="670">((A443-A442)+(B443-B442))*24</f>
        <v>24</v>
      </c>
      <c r="D443" s="1064">
        <v>3.22</v>
      </c>
      <c r="E443" s="1064">
        <v>77.28</v>
      </c>
      <c r="F443" s="539"/>
      <c r="G443" s="1064">
        <v>6.27</v>
      </c>
      <c r="H443" s="539"/>
      <c r="I443" s="539"/>
      <c r="J443" s="539"/>
      <c r="K443" s="539"/>
      <c r="L443" s="539"/>
      <c r="M443" s="539">
        <v>60</v>
      </c>
      <c r="N443" s="539">
        <v>85</v>
      </c>
      <c r="O443" s="539"/>
      <c r="P443" s="539"/>
      <c r="Q443" s="539"/>
      <c r="R443" s="539"/>
      <c r="S443" s="539"/>
      <c r="T443" s="539"/>
      <c r="U443" s="539"/>
      <c r="V443" s="1064">
        <v>2.42</v>
      </c>
      <c r="W443" s="1064">
        <v>67.5</v>
      </c>
      <c r="X443" s="539"/>
      <c r="Y443" s="539"/>
      <c r="Z443" s="539"/>
      <c r="AA443" s="539"/>
      <c r="AB443" s="539"/>
      <c r="AC443" s="539"/>
      <c r="AD443" s="1021">
        <f>D437*(100-E437)/(100-W443)</f>
        <v>2.664000000000001</v>
      </c>
      <c r="AE443" s="1055">
        <f>D437-V443</f>
        <v>1.2800000000000002</v>
      </c>
      <c r="AF443" s="847">
        <f>100*(AVERAGE(D$422,D$416,D$437,D$414,D$443,D$407,D$409,D$430,D$436,D$428)-V443)/AVERAGE(D$422,D$416,D$437,D$414,D$443,D$407,D$409,D$430,D$436,D$428)</f>
        <v>28.125928125928127</v>
      </c>
      <c r="AG443" s="847">
        <f>100*(1-((100-AVERAGE(E$422,E$416,E$437,E$414,E$443,E$407,E$409,E$430,E$436,E$428))/(100-W443)))</f>
        <v>25.889230769230775</v>
      </c>
      <c r="AH443" s="1055">
        <f>E437-W443</f>
        <v>9.0999999999999943</v>
      </c>
      <c r="AI443" s="847">
        <f>100*(1-((V443*W443)/(AVERAGE(D$422,D$416,D$437,D$414,D$443,D$407,D$409,D$430,D$436,D$428)*AVERAGE(E$422,E$416,E$437,E$414,E$443,E$407,E$409,E$430,E$436,E$428))))</f>
        <v>36.092158870566017</v>
      </c>
      <c r="AJ443" s="847">
        <f>100*100*((AVERAGE(E$422,E$416,E$437,E$414,E$443,E$407,E$409,E$430,E$436,E$428)-W443)/((100-W443)*AVERAGE(E$422,E$416,E$437,E$414,E$443,E$407,E$409,E$430,E$436,E$428)))</f>
        <v>34.103367981177087</v>
      </c>
      <c r="AK443" s="1064">
        <v>7.12</v>
      </c>
      <c r="AL443" s="539">
        <v>35.200000000000003</v>
      </c>
      <c r="AM443" s="1072">
        <v>714</v>
      </c>
      <c r="AN443" s="334">
        <f t="shared" si="661"/>
        <v>54</v>
      </c>
      <c r="AO443" s="334">
        <f t="shared" si="662"/>
        <v>26.166666666666668</v>
      </c>
      <c r="AP443" s="1072">
        <v>303</v>
      </c>
      <c r="AQ443" s="348">
        <f t="shared" si="619"/>
        <v>17741.981250000001</v>
      </c>
      <c r="AR443" s="348">
        <f t="shared" si="663"/>
        <v>724.16249999999854</v>
      </c>
      <c r="AS443" s="512">
        <f t="shared" si="664"/>
        <v>30.173437499999938</v>
      </c>
      <c r="AT443" s="334">
        <f>AR443/(AVERAGE(AN443,AN444)*(AVERAGE(D$422,D$416,D$437,D$414,D$443,D$407,D$409,D$430,D$436,D$428))*AVERAGE(E$422,E$416,E$437,E$414,E$443,E$407,E$409,E$430,E$436,E$428)*0.0001)</f>
        <v>485.7955411652128</v>
      </c>
      <c r="AU443" s="334">
        <f>(AQ443-AQ437)/(AVERAGE(AN437:AN443)*((AVERAGE(D$422,D$416,D$437,D$414,D$443,D$407,D$409,D$430,D$436,D$428)*AVERAGE(E$422,E$416,E$437,E$414,E$443,E$407,E$409,E$430,E$436,E$428))-(V443*W443))*0.0001*(SUM(C437:C443)/24))</f>
        <v>1289.0407984559856</v>
      </c>
      <c r="AV443" s="512">
        <f>AR443/(AVERAGE(AN444,AN443)*AVERAGE(D$422,D$416,D$437,D$414,D$443,D$407,D$409,D$430,D$436,D$428)*0.01)</f>
        <v>368.78682712015967</v>
      </c>
      <c r="AW443" s="848">
        <f t="shared" si="533"/>
        <v>0.51249999999999896</v>
      </c>
      <c r="AX443" s="539">
        <v>69.8</v>
      </c>
      <c r="AY443" s="539">
        <v>30.1</v>
      </c>
      <c r="AZ443" s="539">
        <v>0</v>
      </c>
      <c r="BA443" s="539">
        <v>15</v>
      </c>
      <c r="BB443" s="539">
        <v>80</v>
      </c>
      <c r="BC443" s="1050" t="s">
        <v>171</v>
      </c>
      <c r="BD443" s="539"/>
      <c r="BE443" s="539"/>
      <c r="BF443" s="539"/>
      <c r="BG443" s="1064">
        <v>2.59</v>
      </c>
      <c r="BH443" s="1064">
        <v>60.76</v>
      </c>
      <c r="BI443" s="539"/>
      <c r="BJ443" s="539"/>
      <c r="BK443" s="539"/>
      <c r="BL443" s="539"/>
      <c r="BM443" s="539"/>
      <c r="BN443" s="539"/>
      <c r="BO443" s="847">
        <f>D437*(100-E437)/(100-BH443)</f>
        <v>2.2064220183486243</v>
      </c>
      <c r="BP443" s="1055">
        <f>D437-BG443</f>
        <v>1.1100000000000003</v>
      </c>
      <c r="BQ443" s="1056">
        <f>100*(AVERAGE(D$422,D$416,D$437,D$414,D$443,D$407,D$409,D$430,D$436,D$428)-BG443)/AVERAGE(D$422,D$416,D$437,D$414,D$443,D$407,D$409,D$430,D$436,D$428)</f>
        <v>23.076923076923084</v>
      </c>
      <c r="BR443" s="1056">
        <f>100*(1-((100-AVERAGE(E$422,E$416,E$437,E$414,E$443,E$407,E$409,E$430,E$436,E$428))/(100-BH443)))</f>
        <v>38.618756371049955</v>
      </c>
      <c r="BS443" s="1055">
        <f>E437-BH443</f>
        <v>15.839999999999996</v>
      </c>
      <c r="BT443" s="1055">
        <f>100*(1-((BG443*BH443)/(AVERAGE(D$422,D$416,D$437,D$414,D$443,D$407,D$409,D$430,D$436,D$428)*AVERAGE(E$422,E$416,E$437,E$414,E$443,E$407,E$409,E$430,E$436,E$428))))</f>
        <v>38.432355641302621</v>
      </c>
      <c r="BU443" s="847">
        <f>100*100*((AVERAGE(E$422,E$416,E$437,E$414,E$443,E$407,E$409,E$430,E$436,E$428)-BH443)/((100-BH443)*AVERAGE(E$422,E$416,E$437,E$414,E$443,E$407,E$409,E$430,E$436,E$428)))</f>
        <v>50.871718485457166</v>
      </c>
      <c r="BV443" s="1064">
        <v>7.27</v>
      </c>
      <c r="BW443" s="539">
        <v>50.6</v>
      </c>
      <c r="BX443" s="539">
        <v>421</v>
      </c>
      <c r="BY443" s="1056">
        <f t="shared" si="665"/>
        <v>28</v>
      </c>
      <c r="BZ443" s="1056">
        <f t="shared" si="666"/>
        <v>26.642857142857142</v>
      </c>
      <c r="CA443" s="539">
        <v>182</v>
      </c>
      <c r="CB443" s="1067">
        <f t="shared" si="667"/>
        <v>30496.268749999999</v>
      </c>
      <c r="CC443" s="334">
        <f t="shared" si="668"/>
        <v>429.296875</v>
      </c>
      <c r="CD443" s="334">
        <f t="shared" si="669"/>
        <v>17.887369791666668</v>
      </c>
      <c r="CE443" s="512">
        <f>CC443/(AVERAGE(BY444,BY443)*(AVERAGE(D$422,D$416,D$437,D$414,D$443,D$407,D$409,D$430,D$436,D$428))*AVERAGE(E$422,E$416,E$437,E$414,E$443,E$407,E$409,E$430,E$436,E$428)*0.0001)</f>
        <v>541.79007049700283</v>
      </c>
      <c r="CF443" s="334">
        <f>(CB443-CB437)/(AVERAGE(BY437:BY443)*((AVERAGE(D$422,D$416,D$437,D$414,D$443,D$407,D$409,D$430,D$436,D$428)*AVERAGE(E$422,E$416,E$437,E$414,E$443,E$407,E$409,E$430,E$436,E$428))-(BG443*BH443))*0.0001*(SUM(C437:C443)/24))</f>
        <v>1390.5003093456535</v>
      </c>
      <c r="CG443" s="334">
        <f>CC443/(AVERAGE(BY443,BY444)*AVERAGE((D$422,D$416,D$437,D$414,D$443,D$407,D$409,D$430,D$436,D$428))*0.01)</f>
        <v>411.29451411709482</v>
      </c>
      <c r="CH443" s="848">
        <f t="shared" si="591"/>
        <v>0.57546497989276135</v>
      </c>
      <c r="CI443" s="539">
        <v>66.8</v>
      </c>
      <c r="CJ443" s="539">
        <v>32.200000000000003</v>
      </c>
      <c r="CK443" s="539">
        <v>0</v>
      </c>
      <c r="CL443" s="539">
        <v>33</v>
      </c>
      <c r="CM443" s="539">
        <v>235</v>
      </c>
      <c r="CN443" s="1050" t="s">
        <v>171</v>
      </c>
    </row>
    <row r="444" spans="1:92" s="1065" customFormat="1">
      <c r="A444" s="1036">
        <f t="shared" si="585"/>
        <v>41599</v>
      </c>
      <c r="B444" s="1037">
        <v>0.33333333333333398</v>
      </c>
      <c r="C444" s="847">
        <f t="shared" si="670"/>
        <v>24</v>
      </c>
      <c r="D444" s="539">
        <v>3.2</v>
      </c>
      <c r="E444" s="539">
        <v>76.3</v>
      </c>
      <c r="F444" s="539">
        <v>39700</v>
      </c>
      <c r="G444" s="539"/>
      <c r="H444" s="539">
        <v>45.8</v>
      </c>
      <c r="I444" s="539">
        <v>3973</v>
      </c>
      <c r="J444" s="539">
        <v>2017</v>
      </c>
      <c r="K444" s="539">
        <v>39</v>
      </c>
      <c r="L444" s="539">
        <v>215</v>
      </c>
      <c r="M444" s="539">
        <v>60</v>
      </c>
      <c r="N444" s="539">
        <v>85</v>
      </c>
      <c r="O444" s="539"/>
      <c r="P444" s="539"/>
      <c r="Q444" s="539"/>
      <c r="R444" s="539"/>
      <c r="S444" s="539"/>
      <c r="T444" s="539"/>
      <c r="U444" s="539"/>
      <c r="V444" s="539">
        <v>2.4</v>
      </c>
      <c r="W444" s="539">
        <v>66.8</v>
      </c>
      <c r="X444" s="539">
        <v>25400</v>
      </c>
      <c r="Y444" s="539">
        <v>39.799999999999997</v>
      </c>
      <c r="Z444" s="539">
        <v>1770</v>
      </c>
      <c r="AA444" s="539">
        <v>523</v>
      </c>
      <c r="AB444" s="539">
        <v>80.7</v>
      </c>
      <c r="AC444" s="539">
        <v>111</v>
      </c>
      <c r="AD444" s="1021">
        <f>D443*(100-E443)/(100-W444)</f>
        <v>2.2035662650602408</v>
      </c>
      <c r="AE444" s="1055">
        <f>D443-V444</f>
        <v>0.82000000000000028</v>
      </c>
      <c r="AF444" s="847">
        <f>100*(AVERAGE(D$422,D$416,D$437,D$414,D$443,D$444,D$409,D$430,D$436,D$428)-V444)/AVERAGE(D$422,D$416,D$437,D$414,D$443,D$444,D$409,D$430,D$436,D$428)</f>
        <v>27.16236722306526</v>
      </c>
      <c r="AG444" s="847">
        <f>100*(1-((100-AVERAGE(E$422,E$416,E$437,E$414,E$443,E$444,E$409,E$430,E$436,E$428))/(100-W444)))</f>
        <v>26.834337349397565</v>
      </c>
      <c r="AH444" s="1055">
        <f>E443-W444</f>
        <v>10.480000000000004</v>
      </c>
      <c r="AI444" s="847">
        <f>100*(1-((V444*W444)/(AVERAGE(D$422,D$416,D$437,D$414,D$443,D$444,D$409,D$430,D$436,D$428)*AVERAGE(E$422,E$416,E$437,E$414,E$443,E$444,E$409,E$430,E$436,E$428))))</f>
        <v>35.73348123077519</v>
      </c>
      <c r="AJ444" s="847">
        <f>100*100*((AVERAGE(E$422,E$416,E$437,E$414,E$443,E$444,E$409,E$430,E$436,E$428)-W444)/((100-W444)*AVERAGE(E$422,E$416,E$437,E$414,E$443,E$444,E$409,E$430,E$436,E$428)))</f>
        <v>35.444052027364734</v>
      </c>
      <c r="AK444" s="539"/>
      <c r="AL444" s="539">
        <v>35.299999999999997</v>
      </c>
      <c r="AM444" s="1072">
        <v>743</v>
      </c>
      <c r="AN444" s="334">
        <f t="shared" si="661"/>
        <v>62.64</v>
      </c>
      <c r="AO444" s="334">
        <f t="shared" si="662"/>
        <v>22.557471264367816</v>
      </c>
      <c r="AP444" s="1072">
        <v>318</v>
      </c>
      <c r="AQ444" s="348">
        <f t="shared" si="619"/>
        <v>18647.184375000001</v>
      </c>
      <c r="AR444" s="348">
        <f t="shared" si="663"/>
        <v>905.203125</v>
      </c>
      <c r="AS444" s="512">
        <f t="shared" si="664"/>
        <v>37.716796875</v>
      </c>
      <c r="AT444" s="334">
        <f>AR444/(AVERAGE(AN444,AN445)*(AVERAGE(D$422,D$416,D$437,D$414,D$443,D$444,D$409,D$430,D$436,D$428))*AVERAGE(E$422,E$416,E$437,E$414,E$443,E$444,E$409,E$430,E$436,E$428)*0.0001)</f>
        <v>579.28377781845961</v>
      </c>
      <c r="AU444" s="334">
        <f>(AQ444-AQ438)/(AVERAGE(AN438:AN444)*((AVERAGE(D$422,D$416,D$437,D$414,D$443,D$444,D$409,D$430,D$436,D$428)*AVERAGE(E$422,E$416,E$437,E$414,E$443,E$444,E$409,E$430,E$436,E$428))-(V444*W444))*0.0001*(SUM(C438:C444)/24))</f>
        <v>1327.2257483496608</v>
      </c>
      <c r="AV444" s="512">
        <f>AR444/(AVERAGE(AN445,AN444)*AVERAGE(D$422,D$416,D$437,D$414,D$443,D$444,D$409,D$430,D$436,D$428)*0.01)</f>
        <v>438.56995534857759</v>
      </c>
      <c r="AW444" s="848">
        <f t="shared" si="533"/>
        <v>0.640625</v>
      </c>
      <c r="AX444" s="539"/>
      <c r="AY444" s="539"/>
      <c r="AZ444" s="539"/>
      <c r="BA444" s="539"/>
      <c r="BB444" s="539"/>
      <c r="BC444" s="539"/>
      <c r="BD444" s="539"/>
      <c r="BE444" s="539"/>
      <c r="BF444" s="539"/>
      <c r="BG444" s="539">
        <v>2.6</v>
      </c>
      <c r="BH444" s="539">
        <v>62.1</v>
      </c>
      <c r="BI444" s="539">
        <v>23500</v>
      </c>
      <c r="BJ444" s="539">
        <v>39.4</v>
      </c>
      <c r="BK444" s="539">
        <v>3388</v>
      </c>
      <c r="BL444" s="539">
        <v>777</v>
      </c>
      <c r="BM444" s="539">
        <v>88.2</v>
      </c>
      <c r="BN444" s="539">
        <v>101</v>
      </c>
      <c r="BO444" s="847">
        <f>D443*(100-E443)/(100-BH444)</f>
        <v>1.9303007915567283</v>
      </c>
      <c r="BP444" s="1055">
        <f>D443-BG444</f>
        <v>0.62000000000000011</v>
      </c>
      <c r="BQ444" s="1056">
        <f>100*(AVERAGE(D$422,D$416,D$437,D$414,D$443,D$444,D$409,D$430,D$436,D$428)-BG444)/AVERAGE(D$422,D$416,D$437,D$414,D$443,D$444,D$409,D$430,D$436,D$428)</f>
        <v>21.092564491654027</v>
      </c>
      <c r="BR444" s="1056">
        <f>100*(1-((100-AVERAGE(E$422,E$416,E$437,E$414,E$443,E$444,E$409,E$430,E$436,E$428))/(100-BH444)))</f>
        <v>35.907651715039549</v>
      </c>
      <c r="BS444" s="1055">
        <f>E443-BH444</f>
        <v>15.18</v>
      </c>
      <c r="BT444" s="1055">
        <f>100*(1-((BG444*BH444)/(AVERAGE(D$422,D$416,D$437,D$414,D$443,D$444,D$409,D$430,D$436,D$428)*AVERAGE(E$422,E$416,E$437,E$414,E$443,E$444,E$409,E$430,E$436,E$428))))</f>
        <v>35.276496254497012</v>
      </c>
      <c r="BU444" s="847">
        <f>100*100*((AVERAGE(E$422,E$416,E$437,E$414,E$443,E$444,E$409,E$430,E$436,E$428)-BH444)/((100-BH444)*AVERAGE(E$422,E$416,E$437,E$414,E$443,E$444,E$409,E$430,E$436,E$428)))</f>
        <v>47.428511425378161</v>
      </c>
      <c r="BV444" s="539"/>
      <c r="BW444" s="539">
        <v>50.5</v>
      </c>
      <c r="BX444" s="539">
        <v>438</v>
      </c>
      <c r="BY444" s="1056">
        <f t="shared" si="665"/>
        <v>34</v>
      </c>
      <c r="BZ444" s="1056">
        <f t="shared" si="666"/>
        <v>21.941176470588236</v>
      </c>
      <c r="CA444" s="539">
        <v>190</v>
      </c>
      <c r="CB444" s="1067">
        <f t="shared" si="667"/>
        <v>30986.893749999999</v>
      </c>
      <c r="CC444" s="334">
        <f t="shared" si="668"/>
        <v>490.625</v>
      </c>
      <c r="CD444" s="334">
        <f t="shared" si="669"/>
        <v>20.442708333333332</v>
      </c>
      <c r="CE444" s="512">
        <f>CC444/(AVERAGE(BY445,BY444)*(AVERAGE(D$422,D$416,D$437,D$414,D$443,D$444,D$409,D$430,D$436,D$428))*AVERAGE(E$422,E$416,E$437,E$414,E$443,E$444,E$409,E$430,E$436,E$428)*0.0001)</f>
        <v>578.45266766377028</v>
      </c>
      <c r="CF444" s="334">
        <f>(CB444-CB438)/(AVERAGE(BY438:BY444)*((AVERAGE(D$422,D$416,D$437,D$414,D$443,D$444,D$409,D$430,D$436,D$428)*AVERAGE(E$422,E$416,E$437,E$414,E$443,E$444,E$409,E$430,E$436,E$428))-(BG444*BH444))*0.0001*(SUM(C438:C444)/24))</f>
        <v>1506.813761152923</v>
      </c>
      <c r="CG444" s="334">
        <f>CC444/(AVERAGE(BY444,BY445)*AVERAGE((D$422,D$416,D$437,D$414,D$443,D$444,D$409,D$430,D$436,D$428))*0.01)</f>
        <v>437.94073016156386</v>
      </c>
      <c r="CH444" s="848">
        <f t="shared" si="591"/>
        <v>0.6576742627345844</v>
      </c>
      <c r="CI444" s="539"/>
      <c r="CJ444" s="539"/>
      <c r="CK444" s="539"/>
      <c r="CL444" s="539"/>
      <c r="CM444" s="539"/>
      <c r="CN444" s="539"/>
    </row>
    <row r="445" spans="1:92">
      <c r="A445" s="1034">
        <f t="shared" si="585"/>
        <v>41600</v>
      </c>
      <c r="B445" s="1035">
        <v>0.33333333333333398</v>
      </c>
      <c r="C445" s="854">
        <f t="shared" si="670"/>
        <v>24</v>
      </c>
      <c r="D445" s="1060"/>
      <c r="E445" s="1060"/>
      <c r="F445" s="1060"/>
      <c r="G445" s="1060"/>
      <c r="H445" s="1060"/>
      <c r="I445" s="1060"/>
      <c r="J445" s="1060"/>
      <c r="K445" s="1060"/>
      <c r="L445" s="1060"/>
      <c r="M445" s="1060"/>
      <c r="N445" s="1060"/>
      <c r="O445" s="1060"/>
      <c r="P445" s="1060"/>
      <c r="Q445" s="1060"/>
      <c r="R445" s="1060"/>
      <c r="S445" s="1060"/>
      <c r="T445" s="1060"/>
      <c r="U445" s="1060"/>
      <c r="V445" s="1060"/>
      <c r="W445" s="1060"/>
      <c r="X445" s="1060"/>
      <c r="Y445" s="1060"/>
      <c r="Z445" s="1060"/>
      <c r="AA445" s="1060"/>
      <c r="AB445" s="1060"/>
      <c r="AC445" s="1060"/>
      <c r="AD445" s="1060"/>
      <c r="AE445" s="1060"/>
      <c r="AF445" s="1060"/>
      <c r="AG445" s="1060"/>
      <c r="AH445" s="1060"/>
      <c r="AI445" s="1060"/>
      <c r="AJ445" s="1060"/>
      <c r="AK445" s="1060"/>
      <c r="AL445" s="1062">
        <v>35.200000000000003</v>
      </c>
      <c r="AM445" s="1073">
        <v>772</v>
      </c>
      <c r="AN445" s="208">
        <f t="shared" si="661"/>
        <v>62.64</v>
      </c>
      <c r="AO445" s="208">
        <f t="shared" si="662"/>
        <v>22.557471264367816</v>
      </c>
      <c r="AP445" s="1073">
        <v>332</v>
      </c>
      <c r="AQ445" s="76">
        <f t="shared" si="619"/>
        <v>19492.040625000001</v>
      </c>
      <c r="AR445" s="76">
        <f t="shared" si="663"/>
        <v>844.85625000000073</v>
      </c>
      <c r="AS445" s="230">
        <f t="shared" si="664"/>
        <v>35.202343750000033</v>
      </c>
      <c r="AT445" s="208">
        <f t="shared" ref="AT445:AT448" si="671">AR445/(AVERAGE(AN445,AN446)*(AVERAGE(D$422,D$416,D$437,D$414,D$443,D$444,D$409,D$430,D$436,D$428))*AVERAGE(E$422,E$416,E$437,E$414,E$443,E$444,E$409,E$430,E$436,E$428)*0.0001)</f>
        <v>540.66485929722944</v>
      </c>
      <c r="AU445" s="1062"/>
      <c r="AV445" s="230">
        <f t="shared" ref="AV445:AV448" si="672">AR445/(AVERAGE(AN446,AN445)*AVERAGE(D$422,D$416,D$437,D$414,D$443,D$444,D$409,D$430,D$436,D$428)*0.01)</f>
        <v>409.33195832533943</v>
      </c>
      <c r="AW445" s="855">
        <f t="shared" si="533"/>
        <v>0.59791666666666721</v>
      </c>
      <c r="AX445" s="1060"/>
      <c r="AY445" s="1060"/>
      <c r="AZ445" s="1060"/>
      <c r="BA445" s="1060"/>
      <c r="BB445" s="1060"/>
      <c r="BC445" s="1060"/>
      <c r="BD445" s="1060"/>
      <c r="BE445" s="1060"/>
      <c r="BF445" s="1060"/>
      <c r="BG445" s="1060"/>
      <c r="BH445" s="1060"/>
      <c r="BI445" s="1060"/>
      <c r="BJ445" s="1060"/>
      <c r="BK445" s="1060"/>
      <c r="BL445" s="1060"/>
      <c r="BM445" s="1060"/>
      <c r="BN445" s="1060"/>
      <c r="BO445" s="1060"/>
      <c r="BP445" s="1060"/>
      <c r="BQ445" s="1060"/>
      <c r="BR445" s="1060"/>
      <c r="BS445" s="1060"/>
      <c r="BT445" s="1060"/>
      <c r="BU445" s="1060"/>
      <c r="BV445" s="1060"/>
      <c r="BW445" s="1062">
        <v>50.6</v>
      </c>
      <c r="BX445" s="1062">
        <v>455</v>
      </c>
      <c r="BY445" s="1054">
        <f t="shared" si="665"/>
        <v>34</v>
      </c>
      <c r="BZ445" s="1054">
        <f t="shared" si="666"/>
        <v>21.941176470588236</v>
      </c>
      <c r="CA445" s="1062">
        <v>199</v>
      </c>
      <c r="CB445" s="1061">
        <f t="shared" si="667"/>
        <v>31538.846874999999</v>
      </c>
      <c r="CC445" s="208">
        <f t="shared" si="668"/>
        <v>551.953125</v>
      </c>
      <c r="CD445" s="208">
        <f t="shared" si="669"/>
        <v>22.998046875</v>
      </c>
      <c r="CE445" s="230">
        <f>CC445/(AVERAGE(BY446,BY445)*(AVERAGE(D$422,D$416,D$437,D$414,D$443,D$444,D$409,D$430,D$436,D$428))*AVERAGE(E$422,E$416,E$437,E$414,E$443,E$444,E$409,E$430,E$436,E$428)*0.0001)</f>
        <v>790.20766207640065</v>
      </c>
      <c r="CF445" s="1062"/>
      <c r="CG445" s="208">
        <f>CC445/(AVERAGE(BY445,BY446)*AVERAGE((D$422,D$416,D$437,D$414,D$443,D$444,D$409,D$430,D$436,D$428))*0.01)</f>
        <v>598.25831888142204</v>
      </c>
      <c r="CH445" s="855">
        <f t="shared" si="591"/>
        <v>0.73988354557640745</v>
      </c>
      <c r="CI445" s="1060"/>
      <c r="CJ445" s="1060"/>
      <c r="CK445" s="1060"/>
      <c r="CL445" s="1060"/>
      <c r="CM445" s="1060"/>
      <c r="CN445" s="110"/>
    </row>
    <row r="446" spans="1:92">
      <c r="A446" s="1034">
        <f t="shared" si="585"/>
        <v>41601</v>
      </c>
      <c r="B446" s="1035">
        <v>0.33333333333333398</v>
      </c>
      <c r="C446" s="854">
        <f t="shared" si="670"/>
        <v>24</v>
      </c>
      <c r="D446" s="1060"/>
      <c r="E446" s="1060"/>
      <c r="F446" s="1060"/>
      <c r="G446" s="1060"/>
      <c r="H446" s="1060"/>
      <c r="I446" s="1060"/>
      <c r="J446" s="1060"/>
      <c r="K446" s="1060"/>
      <c r="L446" s="1060"/>
      <c r="M446" s="1060"/>
      <c r="N446" s="1060"/>
      <c r="O446" s="1060"/>
      <c r="P446" s="1060"/>
      <c r="Q446" s="1060"/>
      <c r="R446" s="1060"/>
      <c r="S446" s="1060"/>
      <c r="T446" s="1060"/>
      <c r="U446" s="1060"/>
      <c r="V446" s="1060"/>
      <c r="W446" s="1060"/>
      <c r="X446" s="1060"/>
      <c r="Y446" s="1060"/>
      <c r="Z446" s="1060"/>
      <c r="AA446" s="1060"/>
      <c r="AB446" s="1060"/>
      <c r="AC446" s="1060"/>
      <c r="AD446" s="1060"/>
      <c r="AE446" s="1060"/>
      <c r="AF446" s="1060"/>
      <c r="AG446" s="1060"/>
      <c r="AH446" s="1060"/>
      <c r="AI446" s="1060"/>
      <c r="AJ446" s="1060"/>
      <c r="AK446" s="1060"/>
      <c r="AL446" s="1062">
        <v>35.299999999999997</v>
      </c>
      <c r="AM446" s="1073">
        <v>801</v>
      </c>
      <c r="AN446" s="208">
        <f t="shared" si="661"/>
        <v>62.64</v>
      </c>
      <c r="AO446" s="208">
        <f t="shared" si="662"/>
        <v>22.557471264367816</v>
      </c>
      <c r="AP446" s="1073">
        <v>348</v>
      </c>
      <c r="AQ446" s="76">
        <f t="shared" si="619"/>
        <v>20457.590625000001</v>
      </c>
      <c r="AR446" s="76">
        <f t="shared" si="663"/>
        <v>965.54999999999927</v>
      </c>
      <c r="AS446" s="230">
        <f t="shared" si="664"/>
        <v>40.231249999999967</v>
      </c>
      <c r="AT446" s="208">
        <f t="shared" si="671"/>
        <v>651.60647977640008</v>
      </c>
      <c r="AU446" s="1062"/>
      <c r="AV446" s="230">
        <f t="shared" si="672"/>
        <v>493.32474977391468</v>
      </c>
      <c r="AW446" s="855">
        <f t="shared" si="533"/>
        <v>0.68333333333333279</v>
      </c>
      <c r="AX446" s="1060"/>
      <c r="AY446" s="1060"/>
      <c r="AZ446" s="1060"/>
      <c r="BA446" s="1060"/>
      <c r="BB446" s="1060"/>
      <c r="BC446" s="1060"/>
      <c r="BD446" s="1060"/>
      <c r="BE446" s="1060"/>
      <c r="BF446" s="1060"/>
      <c r="BG446" s="1060"/>
      <c r="BH446" s="1060"/>
      <c r="BI446" s="1060"/>
      <c r="BJ446" s="1060"/>
      <c r="BK446" s="1060"/>
      <c r="BL446" s="1060"/>
      <c r="BM446" s="1060"/>
      <c r="BN446" s="1060"/>
      <c r="BO446" s="1060"/>
      <c r="BP446" s="1060"/>
      <c r="BQ446" s="1060"/>
      <c r="BR446" s="1060"/>
      <c r="BS446" s="1060"/>
      <c r="BT446" s="1060"/>
      <c r="BU446" s="1060"/>
      <c r="BV446" s="1060"/>
      <c r="BW446" s="1062">
        <v>50.5</v>
      </c>
      <c r="BX446" s="1062">
        <v>466</v>
      </c>
      <c r="BY446" s="1054">
        <f t="shared" si="665"/>
        <v>22</v>
      </c>
      <c r="BZ446" s="1054">
        <f t="shared" si="666"/>
        <v>33.909090909090907</v>
      </c>
      <c r="CA446" s="1062">
        <v>207</v>
      </c>
      <c r="CB446" s="1061">
        <f t="shared" si="667"/>
        <v>32029.471874999999</v>
      </c>
      <c r="CC446" s="208">
        <f t="shared" si="668"/>
        <v>490.625</v>
      </c>
      <c r="CD446" s="208">
        <f t="shared" si="669"/>
        <v>20.442708333333332</v>
      </c>
      <c r="CE446" s="230">
        <f t="shared" ref="CE446:CE448" si="673">CC446/(AVERAGE(BY447,BY446)*(AVERAGE(D$422,D$416,D$437,D$414,D$443,D$444,D$409,D$430,D$436,D$428))*AVERAGE(E$422,E$416,E$437,E$414,E$443,E$444,E$409,E$430,E$436,E$428)*0.0001)</f>
        <v>678.18588622648929</v>
      </c>
      <c r="CF446" s="1062"/>
      <c r="CG446" s="208">
        <f>CC446/(AVERAGE(BY446,BY447)*AVERAGE((D$422,D$416,D$437,D$414,D$443,D$444,D$409,D$430,D$436,D$428))*0.01)</f>
        <v>513.44775260321273</v>
      </c>
      <c r="CH446" s="855">
        <f t="shared" si="591"/>
        <v>0.6576742627345844</v>
      </c>
      <c r="CI446" s="1060"/>
      <c r="CJ446" s="1060"/>
      <c r="CK446" s="1060"/>
      <c r="CL446" s="1060"/>
      <c r="CM446" s="1060"/>
      <c r="CN446" s="110"/>
    </row>
    <row r="447" spans="1:92">
      <c r="A447" s="1034">
        <f t="shared" si="585"/>
        <v>41602</v>
      </c>
      <c r="B447" s="1035">
        <v>0.33333333333333398</v>
      </c>
      <c r="C447" s="854">
        <f t="shared" si="670"/>
        <v>24</v>
      </c>
      <c r="D447" s="1060"/>
      <c r="E447" s="1060"/>
      <c r="F447" s="1060"/>
      <c r="G447" s="1060"/>
      <c r="H447" s="1060"/>
      <c r="I447" s="1060"/>
      <c r="J447" s="1060"/>
      <c r="K447" s="1060"/>
      <c r="L447" s="1060"/>
      <c r="M447" s="1060">
        <v>55</v>
      </c>
      <c r="N447" s="1060">
        <v>80</v>
      </c>
      <c r="O447" s="1060"/>
      <c r="P447" s="1060"/>
      <c r="Q447" s="1060"/>
      <c r="R447" s="1060"/>
      <c r="S447" s="1060"/>
      <c r="T447" s="1060"/>
      <c r="U447" s="1060"/>
      <c r="V447" s="1060"/>
      <c r="W447" s="1060"/>
      <c r="X447" s="1060"/>
      <c r="Y447" s="1060"/>
      <c r="Z447" s="1060"/>
      <c r="AA447" s="1060"/>
      <c r="AB447" s="1060"/>
      <c r="AC447" s="1060"/>
      <c r="AD447" s="1060"/>
      <c r="AE447" s="1060"/>
      <c r="AF447" s="1060"/>
      <c r="AG447" s="1060"/>
      <c r="AH447" s="1060"/>
      <c r="AI447" s="1060"/>
      <c r="AJ447" s="1060"/>
      <c r="AK447" s="1060"/>
      <c r="AL447" s="1062">
        <v>35.200000000000003</v>
      </c>
      <c r="AM447" s="1073">
        <v>827</v>
      </c>
      <c r="AN447" s="208">
        <f t="shared" si="661"/>
        <v>56.160000000000004</v>
      </c>
      <c r="AO447" s="208">
        <f t="shared" si="662"/>
        <v>25.160256410256409</v>
      </c>
      <c r="AP447" s="1073">
        <v>359</v>
      </c>
      <c r="AQ447" s="76">
        <f t="shared" si="619"/>
        <v>21121.40625</v>
      </c>
      <c r="AR447" s="76">
        <f t="shared" si="663"/>
        <v>663.81562499999927</v>
      </c>
      <c r="AS447" s="230">
        <f t="shared" si="664"/>
        <v>27.658984374999971</v>
      </c>
      <c r="AT447" s="208">
        <f t="shared" si="671"/>
        <v>447.9794548462749</v>
      </c>
      <c r="AU447" s="1062"/>
      <c r="AV447" s="230">
        <f t="shared" si="672"/>
        <v>339.16076546956623</v>
      </c>
      <c r="AW447" s="855">
        <f t="shared" si="533"/>
        <v>0.46979166666666616</v>
      </c>
      <c r="AX447" s="1060"/>
      <c r="AY447" s="1060"/>
      <c r="AZ447" s="1060"/>
      <c r="BA447" s="1060"/>
      <c r="BB447" s="1060"/>
      <c r="BC447" s="1060"/>
      <c r="BD447" s="1060"/>
      <c r="BE447" s="1060"/>
      <c r="BF447" s="1060"/>
      <c r="BG447" s="1060"/>
      <c r="BH447" s="1060"/>
      <c r="BI447" s="1060"/>
      <c r="BJ447" s="1060"/>
      <c r="BK447" s="1060"/>
      <c r="BL447" s="1060"/>
      <c r="BM447" s="1060"/>
      <c r="BN447" s="1060"/>
      <c r="BO447" s="1060"/>
      <c r="BP447" s="1060"/>
      <c r="BQ447" s="1060"/>
      <c r="BR447" s="1060"/>
      <c r="BS447" s="1060"/>
      <c r="BT447" s="1060"/>
      <c r="BU447" s="1060"/>
      <c r="BV447" s="1060"/>
      <c r="BW447" s="1062">
        <v>50.6</v>
      </c>
      <c r="BX447" s="1062">
        <v>484</v>
      </c>
      <c r="BY447" s="1054">
        <f t="shared" si="665"/>
        <v>36</v>
      </c>
      <c r="BZ447" s="1054">
        <f t="shared" si="666"/>
        <v>20.722222222222221</v>
      </c>
      <c r="CA447" s="1062">
        <v>214</v>
      </c>
      <c r="CB447" s="1061">
        <f t="shared" si="667"/>
        <v>32458.768749999999</v>
      </c>
      <c r="CC447" s="208">
        <f t="shared" si="668"/>
        <v>429.296875</v>
      </c>
      <c r="CD447" s="208">
        <f t="shared" si="669"/>
        <v>17.887369791666668</v>
      </c>
      <c r="CE447" s="230">
        <f t="shared" si="673"/>
        <v>465.10721251343693</v>
      </c>
      <c r="CF447" s="1062"/>
      <c r="CG447" s="208">
        <f>CC447/(AVERAGE(BY447,BY448)*AVERAGE((D$422,D$416,D$437,D$414,D$443,D$444,D$409,D$430,D$436,D$428))*0.01)</f>
        <v>352.12801952179791</v>
      </c>
      <c r="CH447" s="855">
        <f t="shared" si="591"/>
        <v>0.57546497989276135</v>
      </c>
      <c r="CI447" s="1060"/>
      <c r="CJ447" s="1060"/>
      <c r="CK447" s="1060"/>
      <c r="CL447" s="1060"/>
      <c r="CM447" s="1060"/>
      <c r="CN447" s="110"/>
    </row>
    <row r="448" spans="1:92">
      <c r="A448" s="1034">
        <f t="shared" si="585"/>
        <v>41603</v>
      </c>
      <c r="B448" s="1035">
        <v>0.33333333333333398</v>
      </c>
      <c r="C448" s="854">
        <f t="shared" si="670"/>
        <v>24</v>
      </c>
      <c r="D448" s="1060"/>
      <c r="E448" s="1060"/>
      <c r="F448" s="1060"/>
      <c r="G448" s="1060"/>
      <c r="H448" s="1060"/>
      <c r="I448" s="1060"/>
      <c r="J448" s="1060"/>
      <c r="K448" s="1060"/>
      <c r="L448" s="1060"/>
      <c r="M448" s="1060"/>
      <c r="N448" s="1060"/>
      <c r="O448" s="1060"/>
      <c r="P448" s="1060"/>
      <c r="Q448" s="1060"/>
      <c r="R448" s="1060"/>
      <c r="S448" s="1060"/>
      <c r="T448" s="1060"/>
      <c r="U448" s="1060"/>
      <c r="V448" s="1060"/>
      <c r="W448" s="1060"/>
      <c r="X448" s="1060"/>
      <c r="Y448" s="1060"/>
      <c r="Z448" s="1060"/>
      <c r="AA448" s="1060"/>
      <c r="AB448" s="1060"/>
      <c r="AC448" s="1060"/>
      <c r="AD448" s="1060"/>
      <c r="AE448" s="1060"/>
      <c r="AF448" s="1060"/>
      <c r="AG448" s="1060"/>
      <c r="AH448" s="1060"/>
      <c r="AI448" s="1060"/>
      <c r="AJ448" s="1060"/>
      <c r="AK448" s="1060"/>
      <c r="AL448" s="1062">
        <v>35.299999999999997</v>
      </c>
      <c r="AM448" s="1073">
        <v>856</v>
      </c>
      <c r="AN448" s="208">
        <f t="shared" si="661"/>
        <v>62.64</v>
      </c>
      <c r="AO448" s="208">
        <f t="shared" si="662"/>
        <v>22.557471264367816</v>
      </c>
      <c r="AP448" s="1073">
        <v>372</v>
      </c>
      <c r="AQ448" s="76">
        <f t="shared" si="619"/>
        <v>21905.915625000001</v>
      </c>
      <c r="AR448" s="76">
        <f t="shared" si="663"/>
        <v>784.50937500000146</v>
      </c>
      <c r="AS448" s="230">
        <f t="shared" si="664"/>
        <v>32.687890625000058</v>
      </c>
      <c r="AT448" s="208">
        <f t="shared" si="671"/>
        <v>519.97615294657066</v>
      </c>
      <c r="AU448" s="1062"/>
      <c r="AV448" s="230">
        <f t="shared" si="672"/>
        <v>393.66874563431912</v>
      </c>
      <c r="AW448" s="855">
        <f t="shared" si="533"/>
        <v>0.55520833333333441</v>
      </c>
      <c r="AX448" s="1060"/>
      <c r="AY448" s="1060"/>
      <c r="AZ448" s="1060"/>
      <c r="BA448" s="1060"/>
      <c r="BB448" s="1060"/>
      <c r="BC448" s="1060"/>
      <c r="BD448" s="1060"/>
      <c r="BE448" s="1060"/>
      <c r="BF448" s="1060"/>
      <c r="BG448" s="1060"/>
      <c r="BH448" s="1060"/>
      <c r="BI448" s="1060"/>
      <c r="BJ448" s="1060"/>
      <c r="BK448" s="1060"/>
      <c r="BL448" s="1060"/>
      <c r="BM448" s="1060"/>
      <c r="BN448" s="1060"/>
      <c r="BO448" s="1060"/>
      <c r="BP448" s="1060"/>
      <c r="BQ448" s="1060"/>
      <c r="BR448" s="1060"/>
      <c r="BS448" s="1060"/>
      <c r="BT448" s="1060"/>
      <c r="BU448" s="1060"/>
      <c r="BV448" s="1060"/>
      <c r="BW448" s="1062">
        <v>50.5</v>
      </c>
      <c r="BX448" s="1062">
        <v>503</v>
      </c>
      <c r="BY448" s="1054">
        <f t="shared" si="665"/>
        <v>38</v>
      </c>
      <c r="BZ448" s="1054">
        <f t="shared" si="666"/>
        <v>19.631578947368421</v>
      </c>
      <c r="CA448" s="1062">
        <v>223</v>
      </c>
      <c r="CB448" s="1061">
        <f t="shared" si="667"/>
        <v>33010.721875000003</v>
      </c>
      <c r="CC448" s="208">
        <f t="shared" si="668"/>
        <v>551.95312500000364</v>
      </c>
      <c r="CD448" s="208">
        <f t="shared" si="669"/>
        <v>22.998046875000153</v>
      </c>
      <c r="CE448" s="230">
        <f t="shared" si="673"/>
        <v>632.16612966112461</v>
      </c>
      <c r="CF448" s="1062"/>
      <c r="CG448" s="208">
        <f>CC448/(AVERAGE(BY448,BY449)*AVERAGE((D$422,D$416,D$437,D$414,D$443,D$444,D$409,D$430,D$436,D$428))*0.01)</f>
        <v>478.60665510514076</v>
      </c>
      <c r="CH448" s="855">
        <f t="shared" si="591"/>
        <v>0.73988354557641234</v>
      </c>
      <c r="CI448" s="1060"/>
      <c r="CJ448" s="1060"/>
      <c r="CK448" s="1060"/>
      <c r="CL448" s="1060"/>
      <c r="CM448" s="1060"/>
      <c r="CN448" s="110"/>
    </row>
    <row r="449" spans="1:92" s="337" customFormat="1">
      <c r="A449" s="1036">
        <f t="shared" si="585"/>
        <v>41604</v>
      </c>
      <c r="B449" s="1037">
        <v>0.33333333333333398</v>
      </c>
      <c r="C449" s="847">
        <f t="shared" ref="C449:C455" si="674">((A449-A448)+(B449-B448))*24</f>
        <v>24</v>
      </c>
      <c r="D449" s="1064">
        <v>3.96</v>
      </c>
      <c r="E449" s="1064">
        <v>79.38</v>
      </c>
      <c r="F449" s="539"/>
      <c r="G449" s="1064">
        <v>6.12</v>
      </c>
      <c r="H449" s="539"/>
      <c r="I449" s="539"/>
      <c r="J449" s="539"/>
      <c r="K449" s="539"/>
      <c r="L449" s="539"/>
      <c r="M449" s="539">
        <v>50</v>
      </c>
      <c r="N449" s="539">
        <v>85</v>
      </c>
      <c r="O449" s="539"/>
      <c r="P449" s="539"/>
      <c r="Q449" s="539"/>
      <c r="R449" s="539"/>
      <c r="S449" s="539"/>
      <c r="T449" s="539"/>
      <c r="U449" s="539"/>
      <c r="V449" s="1064">
        <v>2.37</v>
      </c>
      <c r="W449" s="1064">
        <v>68.44</v>
      </c>
      <c r="X449" s="539"/>
      <c r="Y449" s="539"/>
      <c r="Z449" s="539"/>
      <c r="AA449" s="539"/>
      <c r="AB449" s="539"/>
      <c r="AC449" s="539"/>
      <c r="AD449" s="1021">
        <f>D444*(100-E444)/(100-W449)</f>
        <v>2.4030418250950576</v>
      </c>
      <c r="AE449" s="1055">
        <f>D444-V449</f>
        <v>0.83000000000000007</v>
      </c>
      <c r="AF449" s="847">
        <f>100*(AVERAGE(D$422,D$416,D$437,D$414,D$443,D$444,D$449,D$430,D$436,D$428)-V449)/AVERAGE(D$422,D$416,D$437,D$414,D$443,D$444,D$449,D$430,D$436,D$428)</f>
        <v>28.420416792509812</v>
      </c>
      <c r="AG449" s="847">
        <f>100*(1-((100-AVERAGE(E$422,E$416,E$437,E$414,E$443,E$444,E$449,E$430,E$436,E$428))/(100-W449)))</f>
        <v>23.754752851710982</v>
      </c>
      <c r="AH449" s="1055">
        <f>E444-W449</f>
        <v>7.8599999999999994</v>
      </c>
      <c r="AI449" s="847">
        <f>100*(1-((V449*W449)/(AVERAGE(D$422,D$416,D$437,D$414,D$443,D$444,D$449,D$430,D$436,D$428)*AVERAGE(E$422,E$416,E$437,E$414,E$443,E$444,E$449,E$430,E$436,E$428))))</f>
        <v>35.487223952478644</v>
      </c>
      <c r="AJ449" s="847">
        <f>100*100*((AVERAGE(E$422,E$416,E$437,E$414,E$443,E$444,E$449,E$430,E$436,E$428)-W449)/((100-W449)*AVERAGE(E$422,E$416,E$437,E$414,E$443,E$444,E$449,E$430,E$436,E$428)))</f>
        <v>31.282185037216358</v>
      </c>
      <c r="AK449" s="1064">
        <v>7.18</v>
      </c>
      <c r="AL449" s="539">
        <v>35</v>
      </c>
      <c r="AM449" s="1072">
        <v>883</v>
      </c>
      <c r="AN449" s="334">
        <f t="shared" si="661"/>
        <v>58.320000000000007</v>
      </c>
      <c r="AO449" s="334">
        <f t="shared" si="662"/>
        <v>24.228395061728392</v>
      </c>
      <c r="AP449" s="1072">
        <v>387</v>
      </c>
      <c r="AQ449" s="348">
        <f t="shared" si="619"/>
        <v>22811.118750000001</v>
      </c>
      <c r="AR449" s="348">
        <f t="shared" si="663"/>
        <v>905.203125</v>
      </c>
      <c r="AS449" s="512">
        <f t="shared" si="664"/>
        <v>37.716796875</v>
      </c>
      <c r="AT449" s="334">
        <f>AR449/(AVERAGE(AN449,AN450)*(AVERAGE(D$422,D$416,D$437,D$414,D$443,D$444,D$449,D$430,D$436,D$428))*AVERAGE(E$422,E$416,E$437,E$414,E$443,E$444,E$449,E$430,E$436,E$428)*0.0001)</f>
        <v>793.70731379891629</v>
      </c>
      <c r="AU449" s="334">
        <f>(AQ449-AQ443)/(AVERAGE(AN443:AN449)*((AVERAGE(D$422,D$416,D$437,D$414,D$443,D$444,D$449,D$430,D$436,D$428)*AVERAGE(E$422,E$416,E$437,E$414,E$443,E$444,E$449,E$430,E$436,E$428))-(V449*W449))*0.0001*(SUM(C443:C449)/24))</f>
        <v>1355.7947465818058</v>
      </c>
      <c r="AV449" s="512">
        <f>AR449/(AVERAGE(AN450,AN449)*AVERAGE(D$422,D$416,D$437,D$414,D$443,D$444,D$449,D$430,D$436,D$428)*0.01)</f>
        <v>602.71752287948289</v>
      </c>
      <c r="AW449" s="848">
        <f t="shared" si="533"/>
        <v>0.640625</v>
      </c>
      <c r="AX449" s="539">
        <v>69.2</v>
      </c>
      <c r="AY449" s="539">
        <v>30.7</v>
      </c>
      <c r="AZ449" s="539">
        <v>0</v>
      </c>
      <c r="BA449" s="539">
        <v>11</v>
      </c>
      <c r="BB449" s="539">
        <v>95</v>
      </c>
      <c r="BC449" s="539"/>
      <c r="BD449" s="539"/>
      <c r="BE449" s="539"/>
      <c r="BF449" s="539"/>
      <c r="BG449" s="1064">
        <v>2.5499999999999998</v>
      </c>
      <c r="BH449" s="1064">
        <v>61.54</v>
      </c>
      <c r="BI449" s="539"/>
      <c r="BJ449" s="539"/>
      <c r="BK449" s="539"/>
      <c r="BL449" s="539"/>
      <c r="BM449" s="539"/>
      <c r="BN449" s="539"/>
      <c r="BO449" s="847">
        <f>D444*(100-E444)/(100-BH449)</f>
        <v>1.9719188767550706</v>
      </c>
      <c r="BP449" s="1055">
        <f>D444-BG449</f>
        <v>0.65000000000000036</v>
      </c>
      <c r="BQ449" s="1056">
        <f>100*(AVERAGE(D$422,D$416,D$437,D$414,D$443,D$444,D$449,D$430,D$436,D$428)-BG449)/AVERAGE(D$422,D$416,D$437,D$414,D$443,D$444,D$449,D$430,D$436,D$428)</f>
        <v>22.983992751434617</v>
      </c>
      <c r="BR449" s="1056">
        <f>100*(1-((100-AVERAGE(E$422,E$416,E$437,E$414,E$443,E$444,E$449,E$430,E$436,E$428))/(100-BH449)))</f>
        <v>37.433697347893883</v>
      </c>
      <c r="BS449" s="1055">
        <f>E444-BH449</f>
        <v>14.759999999999998</v>
      </c>
      <c r="BT449" s="1055">
        <f>100*(1-((BG449*BH449)/(AVERAGE(D$422,D$416,D$437,D$414,D$443,D$444,D$449,D$430,D$436,D$428)*AVERAGE(E$422,E$416,E$437,E$414,E$443,E$444,E$449,E$430,E$436,E$428))))</f>
        <v>37.585563215866898</v>
      </c>
      <c r="BU449" s="847">
        <f>100*100*((AVERAGE(E$422,E$416,E$437,E$414,E$443,E$444,E$449,E$430,E$436,E$428)-BH449)/((100-BH449)*AVERAGE(E$422,E$416,E$437,E$414,E$443,E$444,E$449,E$430,E$436,E$428)))</f>
        <v>49.295728495850355</v>
      </c>
      <c r="BV449" s="1064">
        <v>7.32</v>
      </c>
      <c r="BW449" s="539">
        <v>50.5</v>
      </c>
      <c r="BX449" s="539">
        <v>519</v>
      </c>
      <c r="BY449" s="1056">
        <f t="shared" si="665"/>
        <v>32</v>
      </c>
      <c r="BZ449" s="1056">
        <f t="shared" si="666"/>
        <v>23.3125</v>
      </c>
      <c r="CA449" s="539">
        <v>233</v>
      </c>
      <c r="CB449" s="1067">
        <f t="shared" si="667"/>
        <v>33624.003125000003</v>
      </c>
      <c r="CC449" s="334">
        <f t="shared" si="668"/>
        <v>613.28125</v>
      </c>
      <c r="CD449" s="334">
        <f t="shared" si="669"/>
        <v>25.553385416666668</v>
      </c>
      <c r="CE449" s="512">
        <f>CC449/(AVERAGE(BY450,BY449)*(AVERAGE(D$422,D$416,D$437,D$414,D$443,D$444,D$449,D$430,D$436,D$428))*AVERAGE(E$422,E$416,E$437,E$414,E$443,E$444,E$449,E$430,E$436,E$428)*0.0001)</f>
        <v>975.67923452354603</v>
      </c>
      <c r="CF449" s="334">
        <f>(CB449-CB443)/(AVERAGE(BY443:BY449)*((AVERAGE(D$422,D$416,D$437,D$414,D$443,D$444,D$449,D$430,D$436,D$428)*AVERAGE(E$422,E$416,E$437,E$414,E$443,E$444,E$449,E$430,E$436,E$428))-(BG449*BH449))*0.0001*(SUM(C443:C449)/24))</f>
        <v>1477.5703440507809</v>
      </c>
      <c r="CG449" s="334">
        <f>CC449/(AVERAGE(BY449,BY450)*AVERAGE((D$422,D$416,D$437,D$414,D$443,D$444,D$449,D$430,D$436,D$428))*0.01)</f>
        <v>740.90154032014493</v>
      </c>
      <c r="CH449" s="848">
        <f t="shared" si="591"/>
        <v>0.82209282841823061</v>
      </c>
      <c r="CI449" s="539">
        <v>67.3</v>
      </c>
      <c r="CJ449" s="539">
        <v>32.6</v>
      </c>
      <c r="CK449" s="539">
        <v>0</v>
      </c>
      <c r="CL449" s="539">
        <v>43</v>
      </c>
      <c r="CM449" s="539">
        <v>225</v>
      </c>
      <c r="CN449" s="442"/>
    </row>
    <row r="450" spans="1:92">
      <c r="A450" s="1034">
        <f t="shared" si="585"/>
        <v>41605</v>
      </c>
      <c r="B450" s="1035">
        <v>0.33333333333333398</v>
      </c>
      <c r="C450" s="854">
        <f t="shared" si="674"/>
        <v>24</v>
      </c>
      <c r="D450" s="1060"/>
      <c r="E450" s="1060"/>
      <c r="F450" s="1060"/>
      <c r="G450" s="1060"/>
      <c r="H450" s="1060"/>
      <c r="I450" s="1060"/>
      <c r="J450" s="1060"/>
      <c r="K450" s="1060"/>
      <c r="L450" s="1060"/>
      <c r="M450" s="1060"/>
      <c r="N450" s="1060"/>
      <c r="O450" s="1060"/>
      <c r="P450" s="1060"/>
      <c r="Q450" s="1060"/>
      <c r="R450" s="1060"/>
      <c r="S450" s="1060"/>
      <c r="T450" s="1060"/>
      <c r="U450" s="1060"/>
      <c r="V450" s="1060"/>
      <c r="W450" s="1060"/>
      <c r="X450" s="1060"/>
      <c r="Y450" s="1060"/>
      <c r="Z450" s="1060"/>
      <c r="AA450" s="1060"/>
      <c r="AB450" s="1060"/>
      <c r="AC450" s="1060"/>
      <c r="AD450" s="1060"/>
      <c r="AE450" s="1060"/>
      <c r="AF450" s="1060"/>
      <c r="AG450" s="1060"/>
      <c r="AH450" s="1060"/>
      <c r="AI450" s="1060"/>
      <c r="AJ450" s="1060"/>
      <c r="AK450" s="1060"/>
      <c r="AL450" s="1060">
        <v>35.200000000000003</v>
      </c>
      <c r="AM450" s="486">
        <v>898</v>
      </c>
      <c r="AN450" s="208">
        <f t="shared" ref="AN450:AN455" si="675">(AM450-AM449)*AQ$1/((C449)/24)</f>
        <v>32.400000000000006</v>
      </c>
      <c r="AO450" s="208">
        <f t="shared" ref="AO450:AO455" si="676">AQ$3/AN450</f>
        <v>43.6111111111111</v>
      </c>
      <c r="AP450" s="486">
        <v>399</v>
      </c>
      <c r="AQ450" s="76">
        <f t="shared" si="619"/>
        <v>23535.28125</v>
      </c>
      <c r="AR450" s="76">
        <f t="shared" ref="AR450:AR455" si="677">(AQ450-AQ449)/(C450/24)</f>
        <v>724.16249999999854</v>
      </c>
      <c r="AS450" s="230">
        <f t="shared" ref="AS450:AS455" si="678">(AQ450-AQ449)/C450</f>
        <v>30.173437499999938</v>
      </c>
      <c r="AT450" s="208">
        <f t="shared" ref="AT450" si="679">AR450/(AVERAGE(AN450,AN451)*(AVERAGE(D$422,D$416,D$437,D$414,D$443,D$444,D$449,D$430,D$436,D$428))*AVERAGE(E$422,E$416,E$437,E$414,E$443,E$444,E$449,E$430,E$436,E$428)*0.0001)</f>
        <v>567.4162924179476</v>
      </c>
      <c r="AU450" s="1062"/>
      <c r="AV450" s="230">
        <f t="shared" ref="AV450" si="680">AR450/(AVERAGE(AN451,AN450)*AVERAGE(D$422,D$416,D$437,D$414,D$443,D$444,D$449,D$430,D$436,D$428)*0.01)</f>
        <v>430.87890997341674</v>
      </c>
      <c r="AW450" s="855">
        <f t="shared" si="533"/>
        <v>0.51249999999999896</v>
      </c>
      <c r="AX450" s="1060"/>
      <c r="AY450" s="1060"/>
      <c r="AZ450" s="1060"/>
      <c r="BA450" s="1060"/>
      <c r="BB450" s="1060"/>
      <c r="BC450" s="1060"/>
      <c r="BD450" s="1060"/>
      <c r="BE450" s="1060"/>
      <c r="BF450" s="1060"/>
      <c r="BG450" s="1060"/>
      <c r="BH450" s="1060"/>
      <c r="BI450" s="1060"/>
      <c r="BJ450" s="1060"/>
      <c r="BK450" s="1060"/>
      <c r="BL450" s="1060"/>
      <c r="BM450" s="1060"/>
      <c r="BN450" s="1060"/>
      <c r="BO450" s="1060"/>
      <c r="BP450" s="1060"/>
      <c r="BQ450" s="1060"/>
      <c r="BR450" s="1060"/>
      <c r="BS450" s="1060"/>
      <c r="BT450" s="1060"/>
      <c r="BU450" s="1060"/>
      <c r="BV450" s="1060"/>
      <c r="BW450" s="1060">
        <v>50.4</v>
      </c>
      <c r="BX450" s="1060">
        <v>528</v>
      </c>
      <c r="BY450" s="1054">
        <f t="shared" ref="BY450:BY461" si="681">(BX450-BX449)*CB$1/((C450)/24)</f>
        <v>18</v>
      </c>
      <c r="BZ450" s="1054">
        <f t="shared" ref="BZ450:BZ461" si="682">CB$3/BY450</f>
        <v>41.444444444444443</v>
      </c>
      <c r="CA450" s="1060">
        <v>240</v>
      </c>
      <c r="CB450" s="1061">
        <f t="shared" si="667"/>
        <v>34053.300000000003</v>
      </c>
      <c r="CC450" s="208">
        <f t="shared" ref="CC450:CC461" si="683">(CB450-CB449)/((C450/24))</f>
        <v>429.296875</v>
      </c>
      <c r="CD450" s="208">
        <f t="shared" ref="CD450:CD461" si="684">(CB450-CB449)/(C450)</f>
        <v>17.887369791666668</v>
      </c>
      <c r="CE450" s="230">
        <f t="shared" ref="CE450" si="685">CC450/(AVERAGE(BY451,BY450)*(AVERAGE(D$422,D$416,D$437,D$414,D$443,D$444,D$449,D$430,D$436,D$428))*AVERAGE(E$422,E$416,E$437,E$414,E$443,E$444,E$449,E$430,E$436,E$428)*0.0001)</f>
        <v>517.40565467157739</v>
      </c>
      <c r="CF450" s="1062"/>
      <c r="CG450" s="208">
        <f>CC450/(AVERAGE(BY450,BY451)*AVERAGE((D$422,D$416,D$437,D$414,D$443,D$444,D$449,D$430,D$436,D$428))*0.01)</f>
        <v>392.90233198795568</v>
      </c>
      <c r="CH450" s="855">
        <f t="shared" si="591"/>
        <v>0.57546497989276135</v>
      </c>
      <c r="CI450" s="1060"/>
      <c r="CJ450" s="1060"/>
      <c r="CK450" s="1060"/>
      <c r="CL450" s="1060"/>
      <c r="CM450" s="1060"/>
      <c r="CN450" s="110"/>
    </row>
    <row r="451" spans="1:92" s="337" customFormat="1">
      <c r="A451" s="1036">
        <f t="shared" si="585"/>
        <v>41606</v>
      </c>
      <c r="B451" s="1037">
        <v>0.33333333333333398</v>
      </c>
      <c r="C451" s="847">
        <f t="shared" si="674"/>
        <v>24</v>
      </c>
      <c r="D451" s="539">
        <v>3.7</v>
      </c>
      <c r="E451" s="539">
        <v>76.7</v>
      </c>
      <c r="F451" s="539">
        <v>39900</v>
      </c>
      <c r="G451" s="539"/>
      <c r="H451" s="539"/>
      <c r="I451" s="539">
        <v>3793</v>
      </c>
      <c r="J451" s="539"/>
      <c r="K451" s="539"/>
      <c r="L451" s="539"/>
      <c r="M451" s="539"/>
      <c r="N451" s="539"/>
      <c r="O451" s="539"/>
      <c r="P451" s="539"/>
      <c r="Q451" s="539"/>
      <c r="R451" s="539"/>
      <c r="S451" s="539"/>
      <c r="T451" s="539"/>
      <c r="U451" s="539"/>
      <c r="V451" s="539">
        <v>2.4</v>
      </c>
      <c r="W451" s="539">
        <v>66.599999999999994</v>
      </c>
      <c r="X451" s="539">
        <v>22500</v>
      </c>
      <c r="Y451" s="539"/>
      <c r="Z451" s="539">
        <v>1479</v>
      </c>
      <c r="AA451" s="539"/>
      <c r="AB451" s="539"/>
      <c r="AC451" s="539"/>
      <c r="AD451" s="1021">
        <f>D449*(100-E449)/(100-W451)</f>
        <v>2.4447664670658686</v>
      </c>
      <c r="AE451" s="1055">
        <f>D449-V451</f>
        <v>1.56</v>
      </c>
      <c r="AF451" s="847">
        <f>100*(AVERAGE(D$422,D$416,D$437,D$451,D$443,D$444,D$449,D$430,D$436,D$428)-V451)/AVERAGE(D$422,D$416,D$437,D$451,D$443,D$444,D$449,D$430,D$436,D$428)</f>
        <v>28.336816960286662</v>
      </c>
      <c r="AG451" s="847">
        <f>100*(1-((100-AVERAGE(E$422,E$416,E$437,E$451,E$443,E$444,E$449,E$430,E$436,E$428))/(100-W451)))</f>
        <v>27.565868263473025</v>
      </c>
      <c r="AH451" s="1055">
        <f>E449-W451</f>
        <v>12.780000000000001</v>
      </c>
      <c r="AI451" s="847">
        <f>100*(1-((V451*W451)/(AVERAGE(D$422,D$416,D$437,D$451,D$443,D$444,D$449,D$430,D$436,D$428)*AVERAGE(E$422,E$416,E$437,E$451,E$443,E$444,E$449,E$430,E$436,E$428))))</f>
        <v>37.040537279605992</v>
      </c>
      <c r="AJ451" s="847">
        <f>100*100*((AVERAGE(E$422,E$416,E$437,E$451,E$443,E$444,E$449,E$430,E$436,E$428)-W451)/((100-W451)*AVERAGE(E$422,E$416,E$437,E$451,E$443,E$444,E$449,E$430,E$436,E$428)))</f>
        <v>36.363222741267997</v>
      </c>
      <c r="AK451" s="539"/>
      <c r="AL451" s="539">
        <v>35.1</v>
      </c>
      <c r="AM451" s="1072">
        <v>930</v>
      </c>
      <c r="AN451" s="334">
        <f t="shared" si="675"/>
        <v>69.12</v>
      </c>
      <c r="AO451" s="334">
        <f t="shared" si="676"/>
        <v>20.442708333333332</v>
      </c>
      <c r="AP451" s="1072">
        <v>413</v>
      </c>
      <c r="AQ451" s="348">
        <f t="shared" si="619"/>
        <v>24380.137500000001</v>
      </c>
      <c r="AR451" s="348">
        <f t="shared" si="677"/>
        <v>844.85625000000073</v>
      </c>
      <c r="AS451" s="512">
        <f t="shared" si="678"/>
        <v>35.202343750000033</v>
      </c>
      <c r="AT451" s="334">
        <f>AR451/(AVERAGE(AN451,AN452)*(AVERAGE(D$422,D$416,D$437,D$451,D$443,D$444,D$449,D$430,D$436,D$428))*AVERAGE(E$422,E$416,E$437,E$451,E$443,E$444,E$449,E$430,E$436,E$428)*0.0001)</f>
        <v>513.55073800620573</v>
      </c>
      <c r="AU451" s="334">
        <f>(AQ451-AQ445)/(AVERAGE(AN445:AN451)*((AVERAGE(D$422,D$416,D$437,D$451,D$443,D$444,D$449,D$430,D$436,D$428)*AVERAGE(E$422,E$416,E$437,E$451,E$443,E$444,E$449,E$430,E$436,E$428))-(V451*W451))*0.0001*(SUM(C445:C451)/24))</f>
        <v>1286.8938087006002</v>
      </c>
      <c r="AV451" s="512">
        <f>AR451/(AVERAGE(AN452,AN451)*AVERAGE(D$422,D$416,D$437,D$451,D$443,D$444,D$449,D$430,D$436,D$428)*0.01)</f>
        <v>389.30740796036429</v>
      </c>
      <c r="AW451" s="848">
        <f t="shared" ref="AW451:AW504" si="686">AR451/AQ$3</f>
        <v>0.59791666666666721</v>
      </c>
      <c r="AX451" s="539"/>
      <c r="AY451" s="539"/>
      <c r="AZ451" s="539"/>
      <c r="BA451" s="539"/>
      <c r="BB451" s="539"/>
      <c r="BC451" s="539"/>
      <c r="BD451" s="539"/>
      <c r="BE451" s="539"/>
      <c r="BF451" s="539"/>
      <c r="BG451" s="539">
        <v>2.5</v>
      </c>
      <c r="BH451" s="539">
        <v>64.400000000000006</v>
      </c>
      <c r="BI451" s="539">
        <v>24100</v>
      </c>
      <c r="BJ451" s="539"/>
      <c r="BK451" s="539">
        <v>2971</v>
      </c>
      <c r="BL451" s="539"/>
      <c r="BM451" s="539"/>
      <c r="BN451" s="539"/>
      <c r="BO451" s="847">
        <f>D449*(100-E449)/(100-BH451)</f>
        <v>2.293685393258428</v>
      </c>
      <c r="BP451" s="1055">
        <f>D449-BG451</f>
        <v>1.46</v>
      </c>
      <c r="BQ451" s="1056">
        <f>100*(AVERAGE(D$422,D$416,D$437,D$451,D$443,D$444,D$449,D$430,D$436,D$428)-BG451)/AVERAGE(D$422,D$416,D$437,D$451,D$443,D$444,D$449,D$430,D$436,D$428)</f>
        <v>25.350851000298601</v>
      </c>
      <c r="BR451" s="1056">
        <f>100*(1-((100-AVERAGE(E$422,E$416,E$437,E$451,E$443,E$444,E$449,E$430,E$436,E$428))/(100-BH451)))</f>
        <v>32.042134831460636</v>
      </c>
      <c r="BS451" s="1055">
        <f>E449-BH451</f>
        <v>14.97999999999999</v>
      </c>
      <c r="BT451" s="1055">
        <f>100*(1-((BG451*BH451)/(AVERAGE(D$422,D$416,D$437,D$451,D$443,D$444,D$449,D$430,D$436,D$428)*AVERAGE(E$422,E$416,E$437,E$451,E$443,E$444,E$449,E$430,E$436,E$428))))</f>
        <v>36.583624261865388</v>
      </c>
      <c r="BU451" s="847">
        <f>100*100*((AVERAGE(E$422,E$416,E$437,E$451,E$443,E$444,E$449,E$430,E$436,E$428)-BH451)/((100-BH451)*AVERAGE(E$422,E$416,E$437,E$451,E$443,E$444,E$449,E$430,E$436,E$428)))</f>
        <v>42.268042306727125</v>
      </c>
      <c r="BV451" s="539"/>
      <c r="BW451" s="539">
        <v>50.5</v>
      </c>
      <c r="BX451" s="539">
        <v>552</v>
      </c>
      <c r="BY451" s="1056">
        <f t="shared" si="681"/>
        <v>48</v>
      </c>
      <c r="BZ451" s="1056">
        <f t="shared" si="682"/>
        <v>15.541666666666666</v>
      </c>
      <c r="CA451" s="539">
        <v>250</v>
      </c>
      <c r="CB451" s="1067">
        <f t="shared" si="667"/>
        <v>34666.581250000003</v>
      </c>
      <c r="CC451" s="334">
        <f t="shared" si="683"/>
        <v>613.28125</v>
      </c>
      <c r="CD451" s="334">
        <f t="shared" si="684"/>
        <v>25.553385416666668</v>
      </c>
      <c r="CE451" s="512">
        <f>CC451/(AVERAGE(BY452,BY451)*(AVERAGE(D$422,D$416,D$437,D$451,D$443,D$444,D$449,D$430,D$436,D$428))*AVERAGE(E$422,E$416,E$437,E$451,E$443,E$444,E$449,E$430,E$436,E$428)*0.0001)</f>
        <v>603.91419539057244</v>
      </c>
      <c r="CF451" s="334">
        <f>(CB451-CB445)/(AVERAGE(BY445:BY451)*((AVERAGE(D$422,D$416,D$437,D$451,D$443,D$444,D$449,D$430,D$436,D$428)*AVERAGE(E$422,E$416,E$437,E$451,E$443,E$444,E$449,E$430,E$436,E$428))-(BG451*BH451))*0.0001*(SUM(C445:C451)/24))</f>
        <v>1477.0113431586792</v>
      </c>
      <c r="CG451" s="334">
        <f>CC451/(AVERAGE(BY451,BY452)*AVERAGE((D$422,D$416,D$437,D$451,D$443,D$444,D$449,D$430,D$436,D$428))*0.01)</f>
        <v>457.80923409973121</v>
      </c>
      <c r="CH451" s="848">
        <f t="shared" si="591"/>
        <v>0.82209282841823061</v>
      </c>
      <c r="CI451" s="539"/>
      <c r="CJ451" s="539"/>
      <c r="CK451" s="539"/>
      <c r="CL451" s="539"/>
      <c r="CM451" s="539"/>
      <c r="CN451" s="442"/>
    </row>
    <row r="452" spans="1:92">
      <c r="A452" s="1034">
        <f t="shared" si="585"/>
        <v>41607</v>
      </c>
      <c r="B452" s="1035">
        <v>0.33333333333333398</v>
      </c>
      <c r="C452" s="854">
        <f t="shared" si="674"/>
        <v>24</v>
      </c>
      <c r="D452" s="1060"/>
      <c r="E452" s="1060"/>
      <c r="F452" s="1060"/>
      <c r="G452" s="1060"/>
      <c r="H452" s="1060"/>
      <c r="I452" s="1060"/>
      <c r="J452" s="1060"/>
      <c r="K452" s="1060"/>
      <c r="L452" s="1060"/>
      <c r="M452" s="1060"/>
      <c r="N452" s="1060"/>
      <c r="O452" s="1060"/>
      <c r="P452" s="1060"/>
      <c r="Q452" s="1060"/>
      <c r="R452" s="1060"/>
      <c r="S452" s="1060"/>
      <c r="T452" s="1060"/>
      <c r="U452" s="1060"/>
      <c r="V452" s="1060"/>
      <c r="W452" s="1060"/>
      <c r="X452" s="1060"/>
      <c r="Y452" s="1060"/>
      <c r="Z452" s="1060"/>
      <c r="AA452" s="1060"/>
      <c r="AB452" s="1060"/>
      <c r="AC452" s="1060"/>
      <c r="AD452" s="1060"/>
      <c r="AE452" s="1060"/>
      <c r="AF452" s="1060"/>
      <c r="AG452" s="1060"/>
      <c r="AH452" s="1060"/>
      <c r="AI452" s="1060"/>
      <c r="AJ452" s="1060"/>
      <c r="AK452" s="1060"/>
      <c r="AL452" s="1060">
        <v>35.299999999999997</v>
      </c>
      <c r="AM452" s="486">
        <v>958</v>
      </c>
      <c r="AN452" s="208">
        <f t="shared" si="675"/>
        <v>60.480000000000004</v>
      </c>
      <c r="AO452" s="208">
        <f t="shared" si="676"/>
        <v>23.363095238095237</v>
      </c>
      <c r="AP452" s="486">
        <v>427</v>
      </c>
      <c r="AQ452" s="76">
        <f t="shared" si="619"/>
        <v>25224.993750000001</v>
      </c>
      <c r="AR452" s="76">
        <f t="shared" si="677"/>
        <v>844.85625000000073</v>
      </c>
      <c r="AS452" s="230">
        <f t="shared" si="678"/>
        <v>35.202343750000033</v>
      </c>
      <c r="AT452" s="208">
        <f t="shared" ref="AT452:AT455" si="687">AR452/(AVERAGE(AN452,AN453)*(AVERAGE(D$422,D$416,D$437,D$451,D$443,D$444,D$449,D$430,D$436,D$428))*AVERAGE(E$422,E$416,E$437,E$451,E$443,E$444,E$449,E$430,E$436,E$428)*0.0001)</f>
        <v>560.2371687340426</v>
      </c>
      <c r="AU452" s="1062"/>
      <c r="AV452" s="230">
        <f t="shared" ref="AV452:AV455" si="688">AR452/(AVERAGE(AN453,AN452)*AVERAGE(D$422,D$416,D$437,D$451,D$443,D$444,D$449,D$430,D$436,D$428)*0.01)</f>
        <v>424.69899050221568</v>
      </c>
      <c r="AW452" s="855">
        <f t="shared" si="686"/>
        <v>0.59791666666666721</v>
      </c>
      <c r="AX452" s="1060"/>
      <c r="AY452" s="1060"/>
      <c r="AZ452" s="1060"/>
      <c r="BA452" s="1060"/>
      <c r="BB452" s="1060"/>
      <c r="BC452" s="1060"/>
      <c r="BD452" s="1060"/>
      <c r="BE452" s="1060"/>
      <c r="BF452" s="1060"/>
      <c r="BG452" s="1060"/>
      <c r="BH452" s="1060"/>
      <c r="BI452" s="1060"/>
      <c r="BJ452" s="1060"/>
      <c r="BK452" s="1060"/>
      <c r="BL452" s="1060"/>
      <c r="BM452" s="1060"/>
      <c r="BN452" s="1060"/>
      <c r="BO452" s="1060"/>
      <c r="BP452" s="1060"/>
      <c r="BQ452" s="1060"/>
      <c r="BR452" s="1060"/>
      <c r="BS452" s="1060"/>
      <c r="BT452" s="1060"/>
      <c r="BU452" s="1060"/>
      <c r="BV452" s="1060"/>
      <c r="BW452" s="1060">
        <v>50.5</v>
      </c>
      <c r="BX452" s="1060">
        <v>568</v>
      </c>
      <c r="BY452" s="1054">
        <f t="shared" si="681"/>
        <v>32</v>
      </c>
      <c r="BZ452" s="1054">
        <f t="shared" si="682"/>
        <v>23.3125</v>
      </c>
      <c r="CA452" s="1060">
        <v>259</v>
      </c>
      <c r="CB452" s="1061">
        <f t="shared" si="667"/>
        <v>35218.534375000003</v>
      </c>
      <c r="CC452" s="208">
        <f t="shared" si="683"/>
        <v>551.953125</v>
      </c>
      <c r="CD452" s="208">
        <f t="shared" si="684"/>
        <v>22.998046875</v>
      </c>
      <c r="CE452" s="230">
        <f t="shared" ref="CE452:CE455" si="689">CC452/(AVERAGE(BY453,BY452)*(AVERAGE(D$422,D$416,D$437,D$451,D$443,D$444,D$449,D$430,D$436,D$428))*AVERAGE(E$422,E$416,E$437,E$451,E$443,E$444,E$449,E$430,E$436,E$428)*0.0001)</f>
        <v>679.40346981439404</v>
      </c>
      <c r="CF452" s="1062"/>
      <c r="CG452" s="208">
        <f>CC452/(AVERAGE(BY452,BY453)*AVERAGE((D$422,D$416,D$437,D$451,D$443,D$444,D$449,D$430,D$436,D$428))*0.01)</f>
        <v>515.03538836219764</v>
      </c>
      <c r="CH452" s="855">
        <f t="shared" si="591"/>
        <v>0.73988354557640745</v>
      </c>
      <c r="CI452" s="1060"/>
      <c r="CJ452" s="1060"/>
      <c r="CK452" s="1060"/>
      <c r="CL452" s="1060"/>
      <c r="CM452" s="1060"/>
      <c r="CN452" s="110"/>
    </row>
    <row r="453" spans="1:92">
      <c r="A453" s="1034">
        <f t="shared" si="585"/>
        <v>41608</v>
      </c>
      <c r="B453" s="1035">
        <v>0.33333333333333398</v>
      </c>
      <c r="C453" s="854">
        <f t="shared" si="674"/>
        <v>24</v>
      </c>
      <c r="D453" s="1060"/>
      <c r="E453" s="1060"/>
      <c r="F453" s="1060"/>
      <c r="G453" s="1060"/>
      <c r="H453" s="1060"/>
      <c r="I453" s="1060"/>
      <c r="J453" s="1060"/>
      <c r="K453" s="1060"/>
      <c r="L453" s="1060"/>
      <c r="M453" s="1060"/>
      <c r="N453" s="1060"/>
      <c r="O453" s="1060"/>
      <c r="P453" s="1060"/>
      <c r="Q453" s="1060"/>
      <c r="R453" s="1060"/>
      <c r="S453" s="1060"/>
      <c r="T453" s="1060"/>
      <c r="U453" s="1060"/>
      <c r="V453" s="1060"/>
      <c r="W453" s="1060"/>
      <c r="X453" s="1060"/>
      <c r="Y453" s="1060"/>
      <c r="Z453" s="1060"/>
      <c r="AA453" s="1060"/>
      <c r="AB453" s="1060"/>
      <c r="AC453" s="1060"/>
      <c r="AD453" s="1060"/>
      <c r="AE453" s="1060"/>
      <c r="AF453" s="1060"/>
      <c r="AG453" s="1060"/>
      <c r="AH453" s="1060"/>
      <c r="AI453" s="1060"/>
      <c r="AJ453" s="1060"/>
      <c r="AK453" s="1060"/>
      <c r="AL453" s="1060">
        <v>35.299999999999997</v>
      </c>
      <c r="AM453" s="486">
        <v>985</v>
      </c>
      <c r="AN453" s="208">
        <f t="shared" si="675"/>
        <v>58.320000000000007</v>
      </c>
      <c r="AO453" s="208">
        <f t="shared" si="676"/>
        <v>24.228395061728392</v>
      </c>
      <c r="AP453" s="486">
        <v>442</v>
      </c>
      <c r="AQ453" s="76">
        <f t="shared" si="619"/>
        <v>26130.196875000001</v>
      </c>
      <c r="AR453" s="76">
        <f t="shared" si="677"/>
        <v>905.203125</v>
      </c>
      <c r="AS453" s="230">
        <f t="shared" si="678"/>
        <v>37.716796875</v>
      </c>
      <c r="AT453" s="208">
        <f t="shared" si="687"/>
        <v>589.5352859765112</v>
      </c>
      <c r="AU453" s="1062"/>
      <c r="AV453" s="230">
        <f t="shared" si="688"/>
        <v>446.90901424021382</v>
      </c>
      <c r="AW453" s="855">
        <f t="shared" si="686"/>
        <v>0.640625</v>
      </c>
      <c r="AX453" s="1060"/>
      <c r="AY453" s="1060"/>
      <c r="AZ453" s="1060"/>
      <c r="BA453" s="1060"/>
      <c r="BB453" s="1060"/>
      <c r="BC453" s="1060"/>
      <c r="BD453" s="1060"/>
      <c r="BE453" s="1060"/>
      <c r="BF453" s="1060"/>
      <c r="BG453" s="1060"/>
      <c r="BH453" s="1060"/>
      <c r="BI453" s="1060"/>
      <c r="BJ453" s="1060"/>
      <c r="BK453" s="1060"/>
      <c r="BL453" s="1060"/>
      <c r="BM453" s="1060"/>
      <c r="BN453" s="1060"/>
      <c r="BO453" s="1060"/>
      <c r="BP453" s="1060"/>
      <c r="BQ453" s="1060"/>
      <c r="BR453" s="1060"/>
      <c r="BS453" s="1060"/>
      <c r="BT453" s="1060"/>
      <c r="BU453" s="1060"/>
      <c r="BV453" s="1060"/>
      <c r="BW453" s="1060">
        <v>50.5</v>
      </c>
      <c r="BX453" s="1060">
        <v>584</v>
      </c>
      <c r="BY453" s="1054">
        <f t="shared" si="681"/>
        <v>32</v>
      </c>
      <c r="BZ453" s="1054">
        <f t="shared" si="682"/>
        <v>23.3125</v>
      </c>
      <c r="CA453" s="1060">
        <v>268</v>
      </c>
      <c r="CB453" s="1061">
        <f t="shared" si="667"/>
        <v>35770.487500000003</v>
      </c>
      <c r="CC453" s="208">
        <f t="shared" si="683"/>
        <v>551.953125</v>
      </c>
      <c r="CD453" s="208">
        <f t="shared" si="684"/>
        <v>22.998046875</v>
      </c>
      <c r="CE453" s="230">
        <f t="shared" si="689"/>
        <v>749.68658738140027</v>
      </c>
      <c r="CF453" s="1062"/>
      <c r="CG453" s="208">
        <f>CC453/(AVERAGE(BY453,BY454)*AVERAGE((D$422,D$416,D$437,D$451,D$443,D$444,D$449,D$430,D$436,D$428))*0.01)</f>
        <v>568.31491129621804</v>
      </c>
      <c r="CH453" s="855">
        <f t="shared" si="591"/>
        <v>0.73988354557640745</v>
      </c>
      <c r="CI453" s="1060"/>
      <c r="CJ453" s="1060"/>
      <c r="CK453" s="1060"/>
      <c r="CL453" s="1060"/>
      <c r="CM453" s="1060"/>
      <c r="CN453" s="110"/>
    </row>
    <row r="454" spans="1:92">
      <c r="A454" s="1034">
        <f t="shared" si="585"/>
        <v>41609</v>
      </c>
      <c r="B454" s="1035">
        <v>0.33333333333333398</v>
      </c>
      <c r="C454" s="854">
        <f t="shared" si="674"/>
        <v>24</v>
      </c>
      <c r="D454" s="1060"/>
      <c r="E454" s="1060"/>
      <c r="F454" s="1060"/>
      <c r="G454" s="1060"/>
      <c r="H454" s="1060"/>
      <c r="I454" s="1060"/>
      <c r="J454" s="1060"/>
      <c r="K454" s="1060"/>
      <c r="L454" s="1060"/>
      <c r="M454" s="1060"/>
      <c r="N454" s="1060"/>
      <c r="O454" s="1060"/>
      <c r="P454" s="1060"/>
      <c r="Q454" s="1060"/>
      <c r="R454" s="1060"/>
      <c r="S454" s="1060"/>
      <c r="T454" s="1060"/>
      <c r="U454" s="1060"/>
      <c r="V454" s="1060"/>
      <c r="W454" s="1060"/>
      <c r="X454" s="1060"/>
      <c r="Y454" s="1060"/>
      <c r="Z454" s="1060"/>
      <c r="AA454" s="1060"/>
      <c r="AB454" s="1060"/>
      <c r="AC454" s="1060"/>
      <c r="AD454" s="1060"/>
      <c r="AE454" s="1060"/>
      <c r="AF454" s="1060"/>
      <c r="AG454" s="1060"/>
      <c r="AH454" s="1060"/>
      <c r="AI454" s="1060"/>
      <c r="AJ454" s="1060"/>
      <c r="AK454" s="1060"/>
      <c r="AL454" s="1060">
        <v>35.200000000000003</v>
      </c>
      <c r="AM454" s="486">
        <v>1014</v>
      </c>
      <c r="AN454" s="208">
        <f t="shared" si="675"/>
        <v>62.64</v>
      </c>
      <c r="AO454" s="208">
        <f t="shared" si="676"/>
        <v>22.557471264367816</v>
      </c>
      <c r="AP454" s="486">
        <v>458</v>
      </c>
      <c r="AQ454" s="76">
        <f t="shared" si="619"/>
        <v>27095.746875000001</v>
      </c>
      <c r="AR454" s="76">
        <f t="shared" si="677"/>
        <v>965.54999999999927</v>
      </c>
      <c r="AS454" s="230">
        <f t="shared" si="678"/>
        <v>40.231249999999967</v>
      </c>
      <c r="AT454" s="208">
        <f t="shared" si="687"/>
        <v>628.83763837494485</v>
      </c>
      <c r="AU454" s="1062"/>
      <c r="AV454" s="230">
        <f t="shared" si="688"/>
        <v>476.70294852289436</v>
      </c>
      <c r="AW454" s="855">
        <f t="shared" si="686"/>
        <v>0.68333333333333279</v>
      </c>
      <c r="AX454" s="1060"/>
      <c r="AY454" s="1060"/>
      <c r="AZ454" s="1060"/>
      <c r="BA454" s="1060"/>
      <c r="BB454" s="1060"/>
      <c r="BC454" s="1060"/>
      <c r="BD454" s="1060"/>
      <c r="BE454" s="1060"/>
      <c r="BF454" s="1060"/>
      <c r="BG454" s="1060"/>
      <c r="BH454" s="1060"/>
      <c r="BI454" s="1060"/>
      <c r="BJ454" s="1060"/>
      <c r="BK454" s="1060"/>
      <c r="BL454" s="1060"/>
      <c r="BM454" s="1060"/>
      <c r="BN454" s="1060"/>
      <c r="BO454" s="1060"/>
      <c r="BP454" s="1060"/>
      <c r="BQ454" s="1060"/>
      <c r="BR454" s="1060"/>
      <c r="BS454" s="1060"/>
      <c r="BT454" s="1060"/>
      <c r="BU454" s="1060"/>
      <c r="BV454" s="1060"/>
      <c r="BW454" s="1060">
        <v>50.6</v>
      </c>
      <c r="BX454" s="1060">
        <v>597</v>
      </c>
      <c r="BY454" s="1054">
        <f t="shared" si="681"/>
        <v>26</v>
      </c>
      <c r="BZ454" s="1054">
        <f t="shared" si="682"/>
        <v>28.692307692307693</v>
      </c>
      <c r="CA454" s="1060">
        <v>275</v>
      </c>
      <c r="CB454" s="1061">
        <f t="shared" si="667"/>
        <v>36199.784375000003</v>
      </c>
      <c r="CC454" s="208">
        <f t="shared" si="683"/>
        <v>429.296875</v>
      </c>
      <c r="CD454" s="208">
        <f t="shared" si="684"/>
        <v>17.887369791666668</v>
      </c>
      <c r="CE454" s="230">
        <f t="shared" si="689"/>
        <v>676.38389883744117</v>
      </c>
      <c r="CF454" s="1062"/>
      <c r="CG454" s="208">
        <f>CC454/(AVERAGE(BY454,BY455)*AVERAGE((D$422,D$416,D$437,D$451,D$443,D$444,D$449,D$430,D$436,D$428))*0.01)</f>
        <v>512.746342191699</v>
      </c>
      <c r="CH454" s="855">
        <f t="shared" si="591"/>
        <v>0.57546497989276135</v>
      </c>
      <c r="CI454" s="1060"/>
      <c r="CJ454" s="1060"/>
      <c r="CK454" s="1060"/>
      <c r="CL454" s="1060"/>
      <c r="CM454" s="1060"/>
      <c r="CN454" s="110"/>
    </row>
    <row r="455" spans="1:92">
      <c r="A455" s="1034">
        <f t="shared" si="585"/>
        <v>41610</v>
      </c>
      <c r="B455" s="1035">
        <v>0.33333333333333398</v>
      </c>
      <c r="C455" s="854">
        <f t="shared" si="674"/>
        <v>24</v>
      </c>
      <c r="D455" s="1060"/>
      <c r="E455" s="1060"/>
      <c r="F455" s="1060"/>
      <c r="G455" s="1060"/>
      <c r="H455" s="1060"/>
      <c r="I455" s="1060"/>
      <c r="J455" s="1060"/>
      <c r="K455" s="1060"/>
      <c r="L455" s="1060"/>
      <c r="M455" s="1060"/>
      <c r="N455" s="1060"/>
      <c r="O455" s="1060"/>
      <c r="P455" s="1060"/>
      <c r="Q455" s="1060"/>
      <c r="R455" s="1060"/>
      <c r="S455" s="1060"/>
      <c r="T455" s="1060"/>
      <c r="U455" s="1060"/>
      <c r="V455" s="1060"/>
      <c r="W455" s="1060"/>
      <c r="X455" s="1060"/>
      <c r="Y455" s="1060"/>
      <c r="Z455" s="1060"/>
      <c r="AA455" s="1060"/>
      <c r="AB455" s="1060"/>
      <c r="AC455" s="1060"/>
      <c r="AD455" s="1060"/>
      <c r="AE455" s="1060"/>
      <c r="AF455" s="1060"/>
      <c r="AG455" s="1060"/>
      <c r="AH455" s="1060"/>
      <c r="AI455" s="1060"/>
      <c r="AJ455" s="1060"/>
      <c r="AK455" s="1060"/>
      <c r="AL455" s="1060">
        <v>35.4</v>
      </c>
      <c r="AM455" s="486">
        <v>1041</v>
      </c>
      <c r="AN455" s="208">
        <f t="shared" si="675"/>
        <v>58.320000000000007</v>
      </c>
      <c r="AO455" s="208">
        <f t="shared" si="676"/>
        <v>24.228395061728392</v>
      </c>
      <c r="AP455" s="486">
        <v>471</v>
      </c>
      <c r="AQ455" s="76">
        <f t="shared" si="619"/>
        <v>27880.256250000002</v>
      </c>
      <c r="AR455" s="76">
        <f t="shared" si="677"/>
        <v>784.50937500000146</v>
      </c>
      <c r="AS455" s="230">
        <f t="shared" si="678"/>
        <v>32.687890625000058</v>
      </c>
      <c r="AT455" s="208">
        <f t="shared" si="687"/>
        <v>520.22022811018292</v>
      </c>
      <c r="AU455" s="1062"/>
      <c r="AV455" s="230">
        <f t="shared" si="688"/>
        <v>394.36334832348638</v>
      </c>
      <c r="AW455" s="855">
        <f t="shared" si="686"/>
        <v>0.55520833333333441</v>
      </c>
      <c r="AX455" s="1060"/>
      <c r="AY455" s="1060"/>
      <c r="AZ455" s="1060"/>
      <c r="BA455" s="1060"/>
      <c r="BB455" s="1060"/>
      <c r="BC455" s="1060"/>
      <c r="BD455" s="1060"/>
      <c r="BE455" s="1060"/>
      <c r="BF455" s="1060"/>
      <c r="BG455" s="1060"/>
      <c r="BH455" s="1060"/>
      <c r="BI455" s="1060"/>
      <c r="BJ455" s="1060"/>
      <c r="BK455" s="1060"/>
      <c r="BL455" s="1060"/>
      <c r="BM455" s="1060"/>
      <c r="BN455" s="1060"/>
      <c r="BO455" s="1060"/>
      <c r="BP455" s="1060"/>
      <c r="BQ455" s="1060"/>
      <c r="BR455" s="1060"/>
      <c r="BS455" s="1060"/>
      <c r="BT455" s="1060"/>
      <c r="BU455" s="1060"/>
      <c r="BV455" s="1060"/>
      <c r="BW455" s="1060">
        <v>50.7</v>
      </c>
      <c r="BX455" s="1060">
        <v>609</v>
      </c>
      <c r="BY455" s="1054">
        <f t="shared" si="681"/>
        <v>24</v>
      </c>
      <c r="BZ455" s="1054">
        <f t="shared" si="682"/>
        <v>31.083333333333332</v>
      </c>
      <c r="CA455" s="1060">
        <v>282</v>
      </c>
      <c r="CB455" s="1061">
        <f t="shared" si="667"/>
        <v>36629.081250000003</v>
      </c>
      <c r="CC455" s="208">
        <f t="shared" si="683"/>
        <v>429.296875</v>
      </c>
      <c r="CD455" s="208">
        <f t="shared" si="684"/>
        <v>17.887369791666668</v>
      </c>
      <c r="CE455" s="230">
        <f t="shared" si="689"/>
        <v>512.41204457381912</v>
      </c>
      <c r="CF455" s="1062"/>
      <c r="CG455" s="208">
        <f>CC455/(AVERAGE(BY455,BY456)*AVERAGE((D$422,D$416,D$437,D$451,D$443,D$444,D$449,D$430,D$436,D$428))*0.01)</f>
        <v>388.44419863007494</v>
      </c>
      <c r="CH455" s="855">
        <f t="shared" si="591"/>
        <v>0.57546497989276135</v>
      </c>
      <c r="CI455" s="1060"/>
      <c r="CJ455" s="1060"/>
      <c r="CK455" s="1060"/>
      <c r="CL455" s="1060"/>
      <c r="CM455" s="1060"/>
      <c r="CN455" s="110"/>
    </row>
    <row r="456" spans="1:92" s="337" customFormat="1">
      <c r="A456" s="1036">
        <f t="shared" si="585"/>
        <v>41611</v>
      </c>
      <c r="B456" s="1037">
        <v>0.33333333333333398</v>
      </c>
      <c r="C456" s="847">
        <f t="shared" ref="C456:C464" si="690">((A456-A455)+(B456-B455))*24</f>
        <v>24</v>
      </c>
      <c r="D456" s="1064">
        <v>3.17</v>
      </c>
      <c r="E456" s="1064">
        <v>77.39</v>
      </c>
      <c r="F456" s="539"/>
      <c r="G456" s="1064">
        <v>6.32</v>
      </c>
      <c r="H456" s="539"/>
      <c r="I456" s="539"/>
      <c r="J456" s="539"/>
      <c r="K456" s="539"/>
      <c r="L456" s="539"/>
      <c r="M456" s="539"/>
      <c r="N456" s="539"/>
      <c r="O456" s="539"/>
      <c r="P456" s="539"/>
      <c r="Q456" s="539"/>
      <c r="R456" s="539"/>
      <c r="S456" s="539"/>
      <c r="T456" s="539"/>
      <c r="U456" s="539"/>
      <c r="V456" s="1064">
        <v>2.33</v>
      </c>
      <c r="W456" s="1064">
        <v>68.099999999999994</v>
      </c>
      <c r="X456" s="539"/>
      <c r="Y456" s="539"/>
      <c r="Z456" s="539"/>
      <c r="AA456" s="539"/>
      <c r="AB456" s="539"/>
      <c r="AC456" s="539"/>
      <c r="AD456" s="1021">
        <f>D451*(100-E451)/(100-W456)</f>
        <v>2.7025078369905948</v>
      </c>
      <c r="AE456" s="1055">
        <f>D451-V456</f>
        <v>1.37</v>
      </c>
      <c r="AF456" s="847">
        <f>100*(AVERAGE(D$422,D$456,D$437,D$451,D$443,D$444,D$449,D$430,D$436,D$428)-V456)/AVERAGE(D$422,D$456,D$437,D$451,D$443,D$444,D$449,D$430,D$436,D$428)</f>
        <v>29.945880938063752</v>
      </c>
      <c r="AG456" s="847">
        <f>100*(1-((100-AVERAGE(E$422,E$456,E$437,E$451,E$443,E$444,E$449,E$430,E$436,E$428))/(100-W456)))</f>
        <v>25.12852664576808</v>
      </c>
      <c r="AH456" s="1055">
        <f>E451-W456</f>
        <v>8.6000000000000085</v>
      </c>
      <c r="AI456" s="847">
        <f>100*(1-((V456*W456)/(AVERAGE(D$422,D$456,D$437,D$451,D$443,D$444,D$449,D$430,D$436,D$428)*AVERAGE(E$422,E$456,E$437,E$451,E$443,E$444,E$449,E$430,E$436,E$428))))</f>
        <v>37.323486413922723</v>
      </c>
      <c r="AJ456" s="847">
        <f>100*100*((AVERAGE(E$422,E$456,E$437,E$451,E$443,E$444,E$449,E$430,E$436,E$428)-W456)/((100-W456)*AVERAGE(E$422,E$456,E$437,E$451,E$443,E$444,E$449,E$430,E$436,E$428)))</f>
        <v>33.013461881559827</v>
      </c>
      <c r="AK456" s="1064">
        <v>7.14</v>
      </c>
      <c r="AL456" s="539">
        <v>35.299999999999997</v>
      </c>
      <c r="AM456" s="1072">
        <v>1069</v>
      </c>
      <c r="AN456" s="334">
        <f t="shared" ref="AN456:AN461" si="691">(AM456-AM455)*AQ$1/((C455)/24)</f>
        <v>60.480000000000004</v>
      </c>
      <c r="AO456" s="334">
        <f t="shared" ref="AO456:AO461" si="692">AQ$3/AN456</f>
        <v>23.363095238095237</v>
      </c>
      <c r="AP456" s="1072">
        <v>484</v>
      </c>
      <c r="AQ456" s="348">
        <f t="shared" si="619"/>
        <v>28664.765625000004</v>
      </c>
      <c r="AR456" s="348">
        <f t="shared" ref="AR456:AR461" si="693">(AQ456-AQ455)/(C456/24)</f>
        <v>784.50937500000146</v>
      </c>
      <c r="AS456" s="512">
        <f t="shared" ref="AS456:AS461" si="694">(AQ456-AQ455)/C456</f>
        <v>32.687890625000058</v>
      </c>
      <c r="AT456" s="334">
        <f>AR456/(AVERAGE(AN456,AN457)*(AVERAGE(D$422,D$456,D$437,D$451,D$443,D$444,D$449,D$430,D$436,D$428))*AVERAGE(E$422,E$456,E$437,E$451,E$443,E$444,E$449,E$430,E$436,E$428)*0.0001)</f>
        <v>512.37526154618877</v>
      </c>
      <c r="AU456" s="334">
        <f>(AQ456-AQ450)/(AVERAGE(AN450:AN456)*((AVERAGE(D$422,D$456,D$437,D$451,D$443,D$444,D$449,D$430,D$436,D$428)*AVERAGE(E$422,E$456,E$437,E$451,E$443,E$444,E$449,E$430,E$436,E$428))-(V456*W456))*0.0001*(SUM(C450:C456)/24))</f>
        <v>1351.2216926105996</v>
      </c>
      <c r="AV456" s="512">
        <f>AR456/(AVERAGE(AN457,AN456)*AVERAGE(D$422,D$456,D$437,D$451,D$443,D$444,D$449,D$430,D$436,D$428)*0.01)</f>
        <v>389.99955407849717</v>
      </c>
      <c r="AW456" s="848">
        <f t="shared" si="686"/>
        <v>0.55520833333333441</v>
      </c>
      <c r="AX456" s="539">
        <v>67.900000000000006</v>
      </c>
      <c r="AY456" s="539">
        <v>32</v>
      </c>
      <c r="AZ456" s="539">
        <v>0</v>
      </c>
      <c r="BA456" s="539">
        <v>19</v>
      </c>
      <c r="BB456" s="539">
        <v>145</v>
      </c>
      <c r="BC456" s="539"/>
      <c r="BD456" s="539"/>
      <c r="BE456" s="539"/>
      <c r="BF456" s="539"/>
      <c r="BG456" s="1064">
        <v>2.6</v>
      </c>
      <c r="BH456" s="1064">
        <v>61.31</v>
      </c>
      <c r="BI456" s="539"/>
      <c r="BJ456" s="539"/>
      <c r="BK456" s="539"/>
      <c r="BL456" s="539"/>
      <c r="BM456" s="539"/>
      <c r="BN456" s="539"/>
      <c r="BO456" s="847">
        <f>D451*(100-E451)/(100-BH456)</f>
        <v>2.228224347376583</v>
      </c>
      <c r="BP456" s="1055">
        <f>D451-BG456</f>
        <v>1.1000000000000001</v>
      </c>
      <c r="BQ456" s="1056">
        <f>100*(AVERAGE(D$422,D$456,D$437,D$451,D$443,D$444,D$449,D$430,D$436,D$428)-BG456)/AVERAGE(D$422,D$456,D$437,D$451,D$443,D$444,D$449,D$430,D$436,D$428)</f>
        <v>21.828021647624784</v>
      </c>
      <c r="BR456" s="1056">
        <f>100*(1-((100-AVERAGE(E$422,E$456,E$437,E$451,E$443,E$444,E$449,E$430,E$436,E$428))/(100-BH456)))</f>
        <v>38.268286378909309</v>
      </c>
      <c r="BS456" s="1055">
        <f>E451-BH456</f>
        <v>15.39</v>
      </c>
      <c r="BT456" s="1055">
        <f>100*(1-((BG456*BH456)/(AVERAGE(D$422,D$456,D$437,D$451,D$443,D$444,D$449,D$430,D$436,D$428)*AVERAGE(E$422,E$456,E$437,E$451,E$443,E$444,E$449,E$430,E$436,E$428))))</f>
        <v>37.03394827915124</v>
      </c>
      <c r="BU456" s="847">
        <f>100*100*((AVERAGE(E$422,E$456,E$437,E$451,E$443,E$444,E$449,E$430,E$436,E$428)-BH456)/((100-BH456)*AVERAGE(E$422,E$456,E$437,E$451,E$443,E$444,E$449,E$430,E$436,E$428)))</f>
        <v>50.276270927149753</v>
      </c>
      <c r="BV456" s="1064">
        <v>7.26</v>
      </c>
      <c r="BW456" s="539">
        <v>50.5</v>
      </c>
      <c r="BX456" s="539">
        <v>630</v>
      </c>
      <c r="BY456" s="1056">
        <f t="shared" si="681"/>
        <v>42</v>
      </c>
      <c r="BZ456" s="1056">
        <f t="shared" si="682"/>
        <v>17.761904761904763</v>
      </c>
      <c r="CA456" s="539">
        <v>290</v>
      </c>
      <c r="CB456" s="1067">
        <f t="shared" si="667"/>
        <v>37119.706250000003</v>
      </c>
      <c r="CC456" s="334">
        <f t="shared" si="683"/>
        <v>490.625</v>
      </c>
      <c r="CD456" s="334">
        <f t="shared" si="684"/>
        <v>20.442708333333332</v>
      </c>
      <c r="CE456" s="512">
        <f>CC456/(AVERAGE(BY457,BY456)*(AVERAGE(D$422,D$456,D$437,D$451,D$443,D$444,D$449,D$430,D$436,D$428))*AVERAGE(E$422,E$456,E$437,E$451,E$443,E$444,E$449,E$430,E$436,E$428)*0.0001)</f>
        <v>509.99729795453476</v>
      </c>
      <c r="CF456" s="334">
        <f>(CB456-CB450)/(AVERAGE(BY450:BY456)*((AVERAGE(D$422,D$456,D$437,D$451,D$443,D$444,D$449,D$430,D$436,D$428)*AVERAGE(E$422,E$456,E$437,E$451,E$443,E$444,E$449,E$430,E$436,E$428))-(BG456*BH456))*0.0001*(SUM(C450:C456)/24))</f>
        <v>1473.2569514157665</v>
      </c>
      <c r="CG456" s="334">
        <f>CC456/(AVERAGE(BY456,BY457)*AVERAGE((D$422,D$456,D$437,D$451,D$443,D$444,D$449,D$430,D$436,D$428))*0.01)</f>
        <v>388.18954331107381</v>
      </c>
      <c r="CH456" s="848">
        <f t="shared" si="591"/>
        <v>0.6576742627345844</v>
      </c>
      <c r="CI456" s="539">
        <v>66.099999999999994</v>
      </c>
      <c r="CJ456" s="539">
        <v>33.799999999999997</v>
      </c>
      <c r="CK456" s="539">
        <v>0</v>
      </c>
      <c r="CL456" s="539">
        <v>47</v>
      </c>
      <c r="CM456" s="539">
        <v>275</v>
      </c>
      <c r="CN456" s="442"/>
    </row>
    <row r="457" spans="1:92">
      <c r="A457" s="1034">
        <f t="shared" si="585"/>
        <v>41612</v>
      </c>
      <c r="B457" s="1035">
        <v>0.33333333333333398</v>
      </c>
      <c r="C457" s="854">
        <f t="shared" si="690"/>
        <v>24</v>
      </c>
      <c r="D457" s="1060"/>
      <c r="E457" s="1060"/>
      <c r="F457" s="1060"/>
      <c r="G457" s="1060"/>
      <c r="H457" s="1060"/>
      <c r="I457" s="1060"/>
      <c r="J457" s="1060"/>
      <c r="K457" s="1060"/>
      <c r="L457" s="1060"/>
      <c r="M457" s="1060">
        <v>60</v>
      </c>
      <c r="N457" s="1060">
        <v>90</v>
      </c>
      <c r="O457" s="1060"/>
      <c r="P457" s="1060"/>
      <c r="Q457" s="1060"/>
      <c r="R457" s="1060"/>
      <c r="S457" s="1060"/>
      <c r="T457" s="1060"/>
      <c r="U457" s="1060"/>
      <c r="V457" s="1060"/>
      <c r="W457" s="1060"/>
      <c r="X457" s="1060"/>
      <c r="Y457" s="1060"/>
      <c r="Z457" s="1060"/>
      <c r="AA457" s="1060"/>
      <c r="AB457" s="1060"/>
      <c r="AC457" s="1060"/>
      <c r="AD457" s="1060"/>
      <c r="AE457" s="1060"/>
      <c r="AF457" s="1060"/>
      <c r="AG457" s="1060"/>
      <c r="AH457" s="1060"/>
      <c r="AI457" s="1060"/>
      <c r="AJ457" s="1060"/>
      <c r="AK457" s="1060"/>
      <c r="AL457" s="1060">
        <v>35.200000000000003</v>
      </c>
      <c r="AM457" s="486">
        <v>1097</v>
      </c>
      <c r="AN457" s="208">
        <f t="shared" si="691"/>
        <v>60.480000000000004</v>
      </c>
      <c r="AO457" s="208">
        <f t="shared" si="692"/>
        <v>23.363095238095237</v>
      </c>
      <c r="AP457" s="486">
        <v>501</v>
      </c>
      <c r="AQ457" s="76">
        <f t="shared" si="619"/>
        <v>29690.662500000002</v>
      </c>
      <c r="AR457" s="76">
        <f t="shared" si="693"/>
        <v>1025.8968749999985</v>
      </c>
      <c r="AS457" s="230">
        <f t="shared" si="694"/>
        <v>42.745703124999942</v>
      </c>
      <c r="AT457" s="208">
        <f t="shared" ref="AT457" si="695">AR457/(AVERAGE(AN457,AN458)*(AVERAGE(D$422,D$456,D$437,D$451,D$443,D$444,D$449,D$430,D$436,D$428))*AVERAGE(E$422,E$456,E$437,E$451,E$443,E$444,E$449,E$430,E$436,E$428)*0.0001)</f>
        <v>682.21153705170639</v>
      </c>
      <c r="AU457" s="1060"/>
      <c r="AV457" s="230">
        <f t="shared" ref="AV457" si="696">AR457/(AVERAGE(AN458,AN457)*AVERAGE(D$422,D$456,D$437,D$451,D$443,D$444,D$449,D$430,D$436,D$428)*0.01)</f>
        <v>519.27213354227695</v>
      </c>
      <c r="AW457" s="855">
        <f t="shared" si="686"/>
        <v>0.72604166666666559</v>
      </c>
      <c r="AX457" s="1060"/>
      <c r="AY457" s="1060"/>
      <c r="AZ457" s="1060"/>
      <c r="BA457" s="1060"/>
      <c r="BB457" s="1060"/>
      <c r="BC457" s="1060"/>
      <c r="BD457" s="1060"/>
      <c r="BE457" s="1060"/>
      <c r="BF457" s="1060"/>
      <c r="BG457" s="1060"/>
      <c r="BH457" s="1060"/>
      <c r="BI457" s="1060"/>
      <c r="BJ457" s="1060"/>
      <c r="BK457" s="1060"/>
      <c r="BL457" s="1060"/>
      <c r="BM457" s="1060"/>
      <c r="BN457" s="1060"/>
      <c r="BO457" s="1060"/>
      <c r="BP457" s="1060"/>
      <c r="BQ457" s="1060"/>
      <c r="BR457" s="1060"/>
      <c r="BS457" s="1060"/>
      <c r="BT457" s="1060"/>
      <c r="BU457" s="1060"/>
      <c r="BV457" s="1060"/>
      <c r="BW457" s="1060">
        <v>50.5</v>
      </c>
      <c r="BX457" s="1060">
        <v>647</v>
      </c>
      <c r="BY457" s="1054">
        <f t="shared" si="681"/>
        <v>34</v>
      </c>
      <c r="BZ457" s="1054">
        <f t="shared" si="682"/>
        <v>21.941176470588236</v>
      </c>
      <c r="CA457" s="1060">
        <v>298</v>
      </c>
      <c r="CB457" s="1061">
        <f t="shared" si="667"/>
        <v>37610.331250000003</v>
      </c>
      <c r="CC457" s="208">
        <f t="shared" si="683"/>
        <v>490.625</v>
      </c>
      <c r="CD457" s="208">
        <f t="shared" si="684"/>
        <v>20.442708333333332</v>
      </c>
      <c r="CE457" s="230">
        <f t="shared" ref="CE457" si="697">CC457/(AVERAGE(BY458,BY457)*(AVERAGE(D$422,D$456,D$437,D$451,D$443,D$444,D$449,D$430,D$436,D$428))*AVERAGE(E$422,E$456,E$437,E$451,E$443,E$444,E$449,E$430,E$436,E$428)*0.0001)</f>
        <v>587.26961582643401</v>
      </c>
      <c r="CF457" s="1060"/>
      <c r="CG457" s="208">
        <f>CC457/(AVERAGE(BY457,BY458)*AVERAGE((D$422,D$456,D$437,D$451,D$443,D$444,D$449,D$430,D$436,D$428))*0.01)</f>
        <v>447.0061407824486</v>
      </c>
      <c r="CH457" s="855">
        <f t="shared" si="591"/>
        <v>0.6576742627345844</v>
      </c>
      <c r="CI457" s="1060"/>
      <c r="CJ457" s="1060"/>
      <c r="CK457" s="1060"/>
      <c r="CL457" s="1060"/>
      <c r="CM457" s="1060"/>
      <c r="CN457" s="110"/>
    </row>
    <row r="458" spans="1:92" s="337" customFormat="1">
      <c r="A458" s="1036">
        <f t="shared" si="585"/>
        <v>41613</v>
      </c>
      <c r="B458" s="1037">
        <v>0.33333333333333398</v>
      </c>
      <c r="C458" s="847">
        <f t="shared" si="690"/>
        <v>24</v>
      </c>
      <c r="D458" s="539">
        <v>3.1</v>
      </c>
      <c r="E458" s="539">
        <v>75.599999999999994</v>
      </c>
      <c r="F458" s="539">
        <v>34000</v>
      </c>
      <c r="G458" s="539"/>
      <c r="H458" s="539">
        <v>46</v>
      </c>
      <c r="I458" s="539">
        <v>4075</v>
      </c>
      <c r="J458" s="539">
        <v>2046</v>
      </c>
      <c r="K458" s="539">
        <v>40.700000000000003</v>
      </c>
      <c r="L458" s="539">
        <v>170</v>
      </c>
      <c r="M458" s="539"/>
      <c r="N458" s="539"/>
      <c r="O458" s="539"/>
      <c r="P458" s="539"/>
      <c r="Q458" s="539"/>
      <c r="R458" s="539"/>
      <c r="S458" s="539"/>
      <c r="T458" s="539"/>
      <c r="U458" s="539"/>
      <c r="V458" s="539">
        <v>2.4</v>
      </c>
      <c r="W458" s="539">
        <v>67.5</v>
      </c>
      <c r="X458" s="539">
        <v>24700</v>
      </c>
      <c r="Y458" s="539">
        <v>40.299999999999997</v>
      </c>
      <c r="Z458" s="539">
        <v>1666</v>
      </c>
      <c r="AA458" s="539">
        <v>591</v>
      </c>
      <c r="AB458" s="539">
        <v>70.900000000000006</v>
      </c>
      <c r="AC458" s="539">
        <v>92.5</v>
      </c>
      <c r="AD458" s="1021">
        <f>D456*(100-E456)/(100-W458)</f>
        <v>2.2053446153846155</v>
      </c>
      <c r="AE458" s="1055">
        <f>D456-V458</f>
        <v>0.77</v>
      </c>
      <c r="AF458" s="847">
        <f>100*(AVERAGE(D$458,D$456,D$437,D$451,D$443,D$444,D$449,D$430,D$436,D$428)-V458)/AVERAGE(D$458,D$456,D$437,D$451,D$443,D$444,D$449,D$430,D$436,D$428)</f>
        <v>27.360774818401936</v>
      </c>
      <c r="AG458" s="847">
        <f>100*(1-((100-AVERAGE(E$458,E$456,E$437,E$451,E$443,E$444,E$449,E$430,E$436,E$428))/(100-W458)))</f>
        <v>26.159999999999982</v>
      </c>
      <c r="AH458" s="1055">
        <f>E456-W458</f>
        <v>9.89</v>
      </c>
      <c r="AI458" s="847">
        <f>100*(1-((V458*W458)/(AVERAGE(D$458,D$456,D$437,D$451,D$443,D$444,D$449,D$430,D$436,D$428)*AVERAGE(E$458,E$456,E$437,E$451,E$443,E$444,E$449,E$430,E$436,E$428))))</f>
        <v>35.486596408543591</v>
      </c>
      <c r="AJ458" s="847">
        <f>100*100*((AVERAGE(E$458,E$456,E$437,E$451,E$443,E$444,E$449,E$430,E$436,E$428)-W458)/((100-W458)*AVERAGE(E$458,E$456,E$437,E$451,E$443,E$444,E$449,E$430,E$436,E$428)))</f>
        <v>34.420146838241081</v>
      </c>
      <c r="AK458" s="539"/>
      <c r="AL458" s="539">
        <v>35.4</v>
      </c>
      <c r="AM458" s="1072">
        <v>1124</v>
      </c>
      <c r="AN458" s="334">
        <f t="shared" si="691"/>
        <v>58.320000000000007</v>
      </c>
      <c r="AO458" s="334">
        <f t="shared" si="692"/>
        <v>24.228395061728392</v>
      </c>
      <c r="AP458" s="1072">
        <v>518</v>
      </c>
      <c r="AQ458" s="348">
        <f t="shared" si="619"/>
        <v>30716.559375000001</v>
      </c>
      <c r="AR458" s="348">
        <f t="shared" si="693"/>
        <v>1025.8968749999985</v>
      </c>
      <c r="AS458" s="512">
        <f t="shared" si="694"/>
        <v>42.745703124999942</v>
      </c>
      <c r="AT458" s="334">
        <f>AR458/(AVERAGE(AN458,AN459)*(AVERAGE(D$458,D$456,D$437,D$451,D$443,D$444,D$449,D$430,D$436,D$428))*AVERAGE(E$458,E$456,E$437,E$451,E$443,E$444,E$449,E$430,E$436,E$428)*0.0001)</f>
        <v>675.50235094642858</v>
      </c>
      <c r="AU458" s="334">
        <f>(AQ458-AQ452)/(AVERAGE(AN452:AN458)*((AVERAGE(D$458,D$456,D$437,D$451,D$443,D$444,D$449,D$430,D$436,D$428)*AVERAGE(E$458,E$456,E$437,E$451,E$443,E$444,E$449,E$430,E$436,E$428))-(V458*W458))*0.0001*(SUM(C452:C458)/24))</f>
        <v>1470.6566460579152</v>
      </c>
      <c r="AV458" s="512">
        <f>AR458/(AVERAGE(AN459,AN458)*AVERAGE(D$458,D$456,D$437,D$451,D$443,D$444,D$449,D$430,D$436,D$428)*0.01)</f>
        <v>513.39529676630468</v>
      </c>
      <c r="AW458" s="848">
        <f t="shared" si="686"/>
        <v>0.72604166666666559</v>
      </c>
      <c r="AX458" s="539"/>
      <c r="AY458" s="539"/>
      <c r="AZ458" s="539"/>
      <c r="BA458" s="539"/>
      <c r="BB458" s="539"/>
      <c r="BC458" s="539"/>
      <c r="BD458" s="539"/>
      <c r="BE458" s="539"/>
      <c r="BF458" s="539"/>
      <c r="BG458" s="539">
        <v>2.6</v>
      </c>
      <c r="BH458" s="539">
        <v>62.3</v>
      </c>
      <c r="BI458" s="539">
        <v>22700</v>
      </c>
      <c r="BJ458" s="539">
        <v>44.4</v>
      </c>
      <c r="BK458" s="539">
        <v>2970</v>
      </c>
      <c r="BL458" s="539">
        <v>822</v>
      </c>
      <c r="BM458" s="539">
        <v>85.1</v>
      </c>
      <c r="BN458" s="539">
        <v>77.3</v>
      </c>
      <c r="BO458" s="847">
        <f>D456*(100-E456)/(100-BH458)</f>
        <v>1.9011591511936337</v>
      </c>
      <c r="BP458" s="1055">
        <f>D456-BG458</f>
        <v>0.56999999999999984</v>
      </c>
      <c r="BQ458" s="1056">
        <f>100*(AVERAGE(D$458,D$456,D$437,D$451,D$443,D$444,D$449,D$430,D$436,D$428)-BG458)/AVERAGE(D$458,D$456,D$437,D$451,D$443,D$444,D$449,D$430,D$436,D$428)</f>
        <v>21.30750605326876</v>
      </c>
      <c r="BR458" s="1056">
        <f>100*(1-((100-AVERAGE(E$458,E$456,E$437,E$451,E$443,E$444,E$449,E$430,E$436,E$428))/(100-BH458)))</f>
        <v>36.344827586206883</v>
      </c>
      <c r="BS458" s="1055">
        <f>E456-BH458</f>
        <v>15.090000000000003</v>
      </c>
      <c r="BT458" s="1055">
        <f>100*(1-((BG458*BH458)/(AVERAGE(D$458,D$456,D$437,D$451,D$443,D$444,D$449,D$430,D$436,D$428)*AVERAGE(E$458,E$456,E$437,E$451,E$443,E$444,E$449,E$430,E$436,E$428))))</f>
        <v>35.494561026270944</v>
      </c>
      <c r="BU458" s="847">
        <f>100*100*((AVERAGE(E$458,E$456,E$437,E$451,E$443,E$444,E$449,E$430,E$436,E$428)-BH458)/((100-BH458)*AVERAGE(E$458,E$456,E$437,E$451,E$443,E$444,E$449,E$430,E$436,E$428)))</f>
        <v>47.820883116506003</v>
      </c>
      <c r="BV458" s="539"/>
      <c r="BW458" s="539">
        <v>50.6</v>
      </c>
      <c r="BX458" s="539">
        <v>663</v>
      </c>
      <c r="BY458" s="1056">
        <f t="shared" si="681"/>
        <v>32</v>
      </c>
      <c r="BZ458" s="1056">
        <f t="shared" si="682"/>
        <v>23.3125</v>
      </c>
      <c r="CA458" s="539">
        <v>306</v>
      </c>
      <c r="CB458" s="1067">
        <f t="shared" si="667"/>
        <v>38100.956250000003</v>
      </c>
      <c r="CC458" s="334">
        <f t="shared" si="683"/>
        <v>490.625</v>
      </c>
      <c r="CD458" s="334">
        <f t="shared" si="684"/>
        <v>20.442708333333332</v>
      </c>
      <c r="CE458" s="512">
        <f>CC458/(AVERAGE(BY459,BY458)*(AVERAGE(D$458,D$456,D$437,D$451,D$443,D$444,D$449,D$430,D$436,D$428))*AVERAGE(E$458,E$456,E$437,E$451,E$443,E$444,E$449,E$430,E$436,E$428)*0.0001)</f>
        <v>610.56883944942695</v>
      </c>
      <c r="CF458" s="334">
        <f>(CB458-CB452)/(AVERAGE(BY452:BY458)*((AVERAGE(D$458,D$456,D$437,D$451,D$443,D$444,D$449,D$430,D$436,D$428)*AVERAGE(E$458,E$456,E$437,E$451,E$443,E$444,E$449,E$430,E$436,E$428))-(BG458*BH458))*0.0001*(SUM(C452:C458)/24))</f>
        <v>1456.7254292509501</v>
      </c>
      <c r="CG458" s="334">
        <f>CC458/(AVERAGE(BY458,BY459)*AVERAGE((D$458,D$456,D$437,D$451,D$443,D$444,D$449,D$430,D$436,D$428))*0.01)</f>
        <v>464.04452935835349</v>
      </c>
      <c r="CH458" s="848">
        <f t="shared" si="591"/>
        <v>0.6576742627345844</v>
      </c>
      <c r="CI458" s="539"/>
      <c r="CJ458" s="539"/>
      <c r="CK458" s="539"/>
      <c r="CL458" s="539"/>
      <c r="CM458" s="539"/>
      <c r="CN458" s="442"/>
    </row>
    <row r="459" spans="1:92">
      <c r="A459" s="1034">
        <f t="shared" si="585"/>
        <v>41614</v>
      </c>
      <c r="B459" s="1035">
        <v>0.33333333333333398</v>
      </c>
      <c r="C459" s="854">
        <f t="shared" si="690"/>
        <v>24</v>
      </c>
      <c r="D459" s="1060"/>
      <c r="E459" s="1060"/>
      <c r="F459" s="1060"/>
      <c r="G459" s="1060"/>
      <c r="H459" s="1060"/>
      <c r="I459" s="1060"/>
      <c r="J459" s="1060"/>
      <c r="K459" s="1060"/>
      <c r="L459" s="1060"/>
      <c r="M459" s="1060">
        <v>60</v>
      </c>
      <c r="N459" s="1060">
        <v>80</v>
      </c>
      <c r="O459" s="1060"/>
      <c r="P459" s="1060"/>
      <c r="Q459" s="1060"/>
      <c r="R459" s="1060"/>
      <c r="S459" s="1060"/>
      <c r="T459" s="1060"/>
      <c r="U459" s="1060"/>
      <c r="V459" s="1060"/>
      <c r="W459" s="1060"/>
      <c r="X459" s="1060"/>
      <c r="Y459" s="1060"/>
      <c r="Z459" s="1060"/>
      <c r="AA459" s="1060"/>
      <c r="AB459" s="1060"/>
      <c r="AC459" s="1060"/>
      <c r="AD459" s="1060"/>
      <c r="AE459" s="1060"/>
      <c r="AF459" s="1060"/>
      <c r="AG459" s="1060"/>
      <c r="AH459" s="1060"/>
      <c r="AI459" s="1060"/>
      <c r="AJ459" s="1060"/>
      <c r="AK459" s="1060"/>
      <c r="AL459" s="1060">
        <v>35.5</v>
      </c>
      <c r="AM459" s="486">
        <v>1153</v>
      </c>
      <c r="AN459" s="208">
        <f t="shared" si="691"/>
        <v>62.64</v>
      </c>
      <c r="AO459" s="208">
        <f t="shared" si="692"/>
        <v>22.557471264367816</v>
      </c>
      <c r="AP459" s="486">
        <v>534</v>
      </c>
      <c r="AQ459" s="76">
        <f>((AP459-AP$418)*AQ$2)</f>
        <v>31682.109375000004</v>
      </c>
      <c r="AR459" s="76">
        <f t="shared" si="693"/>
        <v>965.55000000000291</v>
      </c>
      <c r="AS459" s="230">
        <f t="shared" si="694"/>
        <v>40.231250000000124</v>
      </c>
      <c r="AT459" s="208">
        <f t="shared" ref="AT459:AT462" si="698">AR459/(AVERAGE(AN459,AN460)*(AVERAGE(D$458,D$456,D$437,D$451,D$443,D$444,D$449,D$430,D$436,D$428))*AVERAGE(E$458,E$456,E$437,E$451,E$443,E$444,E$449,E$430,E$436,E$428)*0.0001)</f>
        <v>671.75372524750583</v>
      </c>
      <c r="AU459" s="1062"/>
      <c r="AV459" s="230">
        <f t="shared" ref="AV459:AV462" si="699">AR459/(AVERAGE(AN460,AN459)*AVERAGE(D$458,D$456,D$437,D$451,D$443,D$444,D$449,D$430,D$436,D$428)*0.01)</f>
        <v>510.54626626260932</v>
      </c>
      <c r="AW459" s="855">
        <f t="shared" si="686"/>
        <v>0.68333333333333535</v>
      </c>
      <c r="AX459" s="1060"/>
      <c r="AY459" s="1060"/>
      <c r="AZ459" s="1060"/>
      <c r="BA459" s="1060"/>
      <c r="BB459" s="1060"/>
      <c r="BC459" s="1060"/>
      <c r="BD459" s="1060"/>
      <c r="BE459" s="1060"/>
      <c r="BF459" s="1060"/>
      <c r="BG459" s="1060"/>
      <c r="BH459" s="1060"/>
      <c r="BI459" s="1060"/>
      <c r="BJ459" s="1060"/>
      <c r="BK459" s="1060"/>
      <c r="BL459" s="1060"/>
      <c r="BM459" s="1060"/>
      <c r="BN459" s="1060"/>
      <c r="BO459" s="1060"/>
      <c r="BP459" s="1060"/>
      <c r="BQ459" s="1060"/>
      <c r="BR459" s="1060"/>
      <c r="BS459" s="1060"/>
      <c r="BT459" s="1060"/>
      <c r="BU459" s="1060"/>
      <c r="BV459" s="1060"/>
      <c r="BW459" s="1060">
        <v>50.6</v>
      </c>
      <c r="BX459" s="1060">
        <v>679</v>
      </c>
      <c r="BY459" s="1054">
        <f t="shared" si="681"/>
        <v>32</v>
      </c>
      <c r="BZ459" s="1054">
        <f t="shared" si="682"/>
        <v>23.3125</v>
      </c>
      <c r="CA459" s="1060">
        <v>314</v>
      </c>
      <c r="CB459" s="1061">
        <f t="shared" si="667"/>
        <v>38591.581250000003</v>
      </c>
      <c r="CC459" s="208">
        <f t="shared" si="683"/>
        <v>490.625</v>
      </c>
      <c r="CD459" s="208">
        <f t="shared" si="684"/>
        <v>20.442708333333332</v>
      </c>
      <c r="CE459" s="230">
        <f t="shared" ref="CE459:CE462" si="700">CC459/(AVERAGE(BY460,BY459)*(AVERAGE(D$458,D$456,D$437,D$451,D$443,D$444,D$449,D$430,D$436,D$428))*AVERAGE(E$458,E$456,E$437,E$451,E$443,E$444,E$449,E$430,E$436,E$428)*0.0001)</f>
        <v>630.26460846392467</v>
      </c>
      <c r="CF459" s="1062"/>
      <c r="CG459" s="208">
        <f>CC459/(AVERAGE(BY459,BY460)*AVERAGE((D$458,D$456,D$437,D$451,D$443,D$444,D$449,D$430,D$436,D$428))*0.01)</f>
        <v>479.01370772475201</v>
      </c>
      <c r="CH459" s="855">
        <f t="shared" si="591"/>
        <v>0.6576742627345844</v>
      </c>
      <c r="CI459" s="1060"/>
      <c r="CJ459" s="1060"/>
      <c r="CK459" s="1060"/>
      <c r="CL459" s="1060"/>
      <c r="CM459" s="1060"/>
      <c r="CN459" s="110"/>
    </row>
    <row r="460" spans="1:92">
      <c r="A460" s="1034">
        <f t="shared" si="585"/>
        <v>41615</v>
      </c>
      <c r="B460" s="1035">
        <v>0.33333333333333398</v>
      </c>
      <c r="C460" s="854">
        <f t="shared" si="690"/>
        <v>24</v>
      </c>
      <c r="D460" s="1060"/>
      <c r="E460" s="1060"/>
      <c r="F460" s="1060"/>
      <c r="G460" s="1060"/>
      <c r="H460" s="1060"/>
      <c r="I460" s="1060"/>
      <c r="J460" s="1060"/>
      <c r="K460" s="1060"/>
      <c r="L460" s="1060"/>
      <c r="M460" s="1060"/>
      <c r="N460" s="1060"/>
      <c r="O460" s="1060"/>
      <c r="P460" s="1060"/>
      <c r="Q460" s="1060"/>
      <c r="R460" s="1060"/>
      <c r="S460" s="1060"/>
      <c r="T460" s="1060"/>
      <c r="U460" s="1060"/>
      <c r="V460" s="1060"/>
      <c r="W460" s="1060"/>
      <c r="X460" s="1060"/>
      <c r="Y460" s="1060"/>
      <c r="Z460" s="1060"/>
      <c r="AA460" s="1060"/>
      <c r="AB460" s="1060"/>
      <c r="AC460" s="1060"/>
      <c r="AD460" s="1060"/>
      <c r="AE460" s="1060"/>
      <c r="AF460" s="1060"/>
      <c r="AG460" s="1060"/>
      <c r="AH460" s="1060"/>
      <c r="AI460" s="1060"/>
      <c r="AJ460" s="1060"/>
      <c r="AK460" s="1060"/>
      <c r="AL460" s="1060">
        <v>35.299999999999997</v>
      </c>
      <c r="AM460" s="486">
        <v>1177</v>
      </c>
      <c r="AN460" s="208">
        <f t="shared" si="691"/>
        <v>51.84</v>
      </c>
      <c r="AO460" s="208">
        <f t="shared" si="692"/>
        <v>27.256944444444443</v>
      </c>
      <c r="AP460" s="486">
        <v>552</v>
      </c>
      <c r="AQ460" s="76">
        <f t="shared" si="619"/>
        <v>32768.353125000001</v>
      </c>
      <c r="AR460" s="76">
        <f t="shared" si="693"/>
        <v>1086.2437499999978</v>
      </c>
      <c r="AS460" s="230">
        <f t="shared" si="694"/>
        <v>45.260156249999909</v>
      </c>
      <c r="AT460" s="208">
        <f t="shared" si="698"/>
        <v>931.47246204377518</v>
      </c>
      <c r="AU460" s="1062"/>
      <c r="AV460" s="230">
        <f t="shared" si="699"/>
        <v>707.93770060250995</v>
      </c>
      <c r="AW460" s="855">
        <f t="shared" si="686"/>
        <v>0.76874999999999849</v>
      </c>
      <c r="AX460" s="1060"/>
      <c r="AY460" s="1060"/>
      <c r="AZ460" s="1060"/>
      <c r="BA460" s="1060"/>
      <c r="BB460" s="1060"/>
      <c r="BC460" s="1060"/>
      <c r="BD460" s="1060"/>
      <c r="BE460" s="1060"/>
      <c r="BF460" s="1060"/>
      <c r="BG460" s="1060"/>
      <c r="BH460" s="1060"/>
      <c r="BI460" s="1060"/>
      <c r="BJ460" s="1060"/>
      <c r="BK460" s="1060"/>
      <c r="BL460" s="1060"/>
      <c r="BM460" s="1060"/>
      <c r="BN460" s="1060"/>
      <c r="BO460" s="1060"/>
      <c r="BP460" s="1060"/>
      <c r="BQ460" s="1060"/>
      <c r="BR460" s="1060"/>
      <c r="BS460" s="1060"/>
      <c r="BT460" s="1060"/>
      <c r="BU460" s="1060"/>
      <c r="BV460" s="1060"/>
      <c r="BW460" s="1060">
        <v>50.6</v>
      </c>
      <c r="BX460" s="1060">
        <v>694</v>
      </c>
      <c r="BY460" s="1054">
        <f t="shared" si="681"/>
        <v>30</v>
      </c>
      <c r="BZ460" s="1054">
        <f t="shared" si="682"/>
        <v>24.866666666666667</v>
      </c>
      <c r="CA460" s="1060">
        <v>321</v>
      </c>
      <c r="CB460" s="1061">
        <f t="shared" si="667"/>
        <v>39020.878125000003</v>
      </c>
      <c r="CC460" s="208">
        <f t="shared" si="683"/>
        <v>429.296875</v>
      </c>
      <c r="CD460" s="208">
        <f t="shared" si="684"/>
        <v>17.887369791666668</v>
      </c>
      <c r="CE460" s="230">
        <f t="shared" si="700"/>
        <v>712.33031269099831</v>
      </c>
      <c r="CF460" s="1062"/>
      <c r="CG460" s="208">
        <f>CC460/(AVERAGE(BY460,BY461)*AVERAGE((D$458,D$456,D$437,D$451,D$443,D$444,D$449,D$430,D$436,D$428))*0.01)</f>
        <v>541.38528425141249</v>
      </c>
      <c r="CH460" s="855">
        <f t="shared" si="591"/>
        <v>0.57546497989276135</v>
      </c>
      <c r="CI460" s="1060"/>
      <c r="CJ460" s="1060"/>
      <c r="CK460" s="1060"/>
      <c r="CL460" s="1060"/>
      <c r="CM460" s="1060"/>
      <c r="CN460" s="110" t="s">
        <v>172</v>
      </c>
    </row>
    <row r="461" spans="1:92">
      <c r="A461" s="1034">
        <f t="shared" si="585"/>
        <v>41616</v>
      </c>
      <c r="B461" s="1035">
        <v>0.33333333333333398</v>
      </c>
      <c r="C461" s="854">
        <f t="shared" si="690"/>
        <v>24</v>
      </c>
      <c r="D461" s="1060"/>
      <c r="E461" s="1060"/>
      <c r="F461" s="1060"/>
      <c r="G461" s="1060"/>
      <c r="H461" s="1060"/>
      <c r="I461" s="1060"/>
      <c r="J461" s="1060"/>
      <c r="K461" s="1060"/>
      <c r="L461" s="1060"/>
      <c r="M461" s="1060">
        <v>60</v>
      </c>
      <c r="N461" s="1060">
        <v>80</v>
      </c>
      <c r="O461" s="1060"/>
      <c r="P461" s="1060"/>
      <c r="Q461" s="1060"/>
      <c r="R461" s="1060"/>
      <c r="S461" s="1060"/>
      <c r="T461" s="1060"/>
      <c r="U461" s="1060"/>
      <c r="V461" s="1060"/>
      <c r="W461" s="1060"/>
      <c r="X461" s="1060"/>
      <c r="Y461" s="1060"/>
      <c r="Z461" s="1060"/>
      <c r="AA461" s="1060"/>
      <c r="AB461" s="1060"/>
      <c r="AC461" s="1060"/>
      <c r="AD461" s="1060"/>
      <c r="AE461" s="1060"/>
      <c r="AF461" s="1060"/>
      <c r="AG461" s="1060"/>
      <c r="AH461" s="1060"/>
      <c r="AI461" s="1060"/>
      <c r="AJ461" s="1060"/>
      <c r="AK461" s="1060"/>
      <c r="AL461" s="1060">
        <v>35.1</v>
      </c>
      <c r="AM461" s="486">
        <v>1196</v>
      </c>
      <c r="AN461" s="208">
        <f t="shared" si="691"/>
        <v>41.040000000000006</v>
      </c>
      <c r="AO461" s="208">
        <f t="shared" si="692"/>
        <v>34.429824561403507</v>
      </c>
      <c r="AP461" s="486">
        <v>566</v>
      </c>
      <c r="AQ461" s="76">
        <f t="shared" si="619"/>
        <v>33613.209375000006</v>
      </c>
      <c r="AR461" s="76">
        <f t="shared" si="693"/>
        <v>844.85625000000437</v>
      </c>
      <c r="AS461" s="230">
        <f t="shared" si="694"/>
        <v>35.202343750000182</v>
      </c>
      <c r="AT461" s="208">
        <f t="shared" si="698"/>
        <v>566.41052742460272</v>
      </c>
      <c r="AU461" s="1062"/>
      <c r="AV461" s="230">
        <f t="shared" si="699"/>
        <v>430.48332905324651</v>
      </c>
      <c r="AW461" s="855">
        <f t="shared" si="686"/>
        <v>0.59791666666666976</v>
      </c>
      <c r="AX461" s="1060"/>
      <c r="AY461" s="1060"/>
      <c r="AZ461" s="1060"/>
      <c r="BA461" s="1060"/>
      <c r="BB461" s="1060"/>
      <c r="BC461" s="1060"/>
      <c r="BD461" s="1060"/>
      <c r="BE461" s="1060"/>
      <c r="BF461" s="1060"/>
      <c r="BG461" s="1060"/>
      <c r="BH461" s="1060"/>
      <c r="BI461" s="1060"/>
      <c r="BJ461" s="1060"/>
      <c r="BK461" s="1060"/>
      <c r="BL461" s="1060"/>
      <c r="BM461" s="1060"/>
      <c r="BN461" s="1060"/>
      <c r="BO461" s="1060"/>
      <c r="BP461" s="1060"/>
      <c r="BQ461" s="1060"/>
      <c r="BR461" s="1060"/>
      <c r="BS461" s="1060"/>
      <c r="BT461" s="1060"/>
      <c r="BU461" s="1060"/>
      <c r="BV461" s="1060"/>
      <c r="BW461" s="1060">
        <v>50.5</v>
      </c>
      <c r="BX461" s="1060">
        <v>703</v>
      </c>
      <c r="BY461" s="1054">
        <f t="shared" si="681"/>
        <v>18</v>
      </c>
      <c r="BZ461" s="1054">
        <f t="shared" si="682"/>
        <v>41.444444444444443</v>
      </c>
      <c r="CA461" s="1060">
        <v>328</v>
      </c>
      <c r="CB461" s="1061">
        <f t="shared" si="667"/>
        <v>39450.175000000003</v>
      </c>
      <c r="CC461" s="208">
        <f t="shared" si="683"/>
        <v>429.296875</v>
      </c>
      <c r="CD461" s="208">
        <f t="shared" si="684"/>
        <v>17.887369791666668</v>
      </c>
      <c r="CE461" s="230">
        <f t="shared" si="700"/>
        <v>569.8642501527986</v>
      </c>
      <c r="CF461" s="1062"/>
      <c r="CG461" s="208">
        <f>CC461/(AVERAGE(BY461,BY462)*AVERAGE((D$458,D$456,D$437,D$451,D$443,D$444,D$449,D$430,D$436,D$428))*0.01)</f>
        <v>433.10822740112997</v>
      </c>
      <c r="CH461" s="855">
        <f t="shared" si="591"/>
        <v>0.57546497989276135</v>
      </c>
      <c r="CI461" s="1060"/>
      <c r="CJ461" s="1060"/>
      <c r="CK461" s="1060"/>
      <c r="CL461" s="1060"/>
      <c r="CM461" s="1060"/>
      <c r="CN461" s="110" t="s">
        <v>173</v>
      </c>
    </row>
    <row r="462" spans="1:92">
      <c r="A462" s="1034">
        <f t="shared" si="585"/>
        <v>41617</v>
      </c>
      <c r="B462" s="1035">
        <v>0.33333333333333398</v>
      </c>
      <c r="C462" s="854">
        <f t="shared" si="690"/>
        <v>24</v>
      </c>
      <c r="D462" s="1060"/>
      <c r="E462" s="1060"/>
      <c r="F462" s="1060"/>
      <c r="G462" s="1060"/>
      <c r="H462" s="1060"/>
      <c r="I462" s="1060"/>
      <c r="J462" s="1060"/>
      <c r="K462" s="1060"/>
      <c r="L462" s="1060"/>
      <c r="M462" s="1060">
        <v>60</v>
      </c>
      <c r="N462" s="1060">
        <v>85</v>
      </c>
      <c r="O462" s="1060"/>
      <c r="P462" s="1060"/>
      <c r="Q462" s="1060"/>
      <c r="R462" s="1060"/>
      <c r="S462" s="1060"/>
      <c r="T462" s="1060"/>
      <c r="U462" s="1060"/>
      <c r="V462" s="1060"/>
      <c r="W462" s="1060"/>
      <c r="X462" s="1060"/>
      <c r="Y462" s="1060"/>
      <c r="Z462" s="1060"/>
      <c r="AA462" s="1060"/>
      <c r="AB462" s="1060"/>
      <c r="AC462" s="1060"/>
      <c r="AD462" s="1060"/>
      <c r="AE462" s="1060"/>
      <c r="AF462" s="1060"/>
      <c r="AG462" s="1060"/>
      <c r="AH462" s="1060"/>
      <c r="AI462" s="1060"/>
      <c r="AJ462" s="1060"/>
      <c r="AK462" s="1060"/>
      <c r="AL462" s="1060">
        <v>35.200000000000003</v>
      </c>
      <c r="AM462" s="486">
        <v>1232</v>
      </c>
      <c r="AN462" s="208">
        <f t="shared" ref="AN462:AN468" si="701">(AM462-AM461)*AQ$1/((C461)/24)</f>
        <v>77.760000000000005</v>
      </c>
      <c r="AO462" s="208">
        <f t="shared" ref="AO462:AO468" si="702">AQ$3/AN462</f>
        <v>18.171296296296294</v>
      </c>
      <c r="AP462" s="486">
        <v>582</v>
      </c>
      <c r="AQ462" s="76">
        <f>((AP462-AP$418)*AQ$2)</f>
        <v>34578.759375000001</v>
      </c>
      <c r="AR462" s="76">
        <f t="shared" ref="AR462:AR468" si="703">(AQ462-AQ461)/(C462/24)</f>
        <v>965.54999999999563</v>
      </c>
      <c r="AS462" s="230">
        <f t="shared" ref="AS462:AS468" si="704">(AQ462-AQ461)/C462</f>
        <v>40.231249999999818</v>
      </c>
      <c r="AT462" s="208">
        <f t="shared" si="698"/>
        <v>624.61311294943039</v>
      </c>
      <c r="AU462" s="1060"/>
      <c r="AV462" s="230">
        <f t="shared" si="699"/>
        <v>474.71845810382615</v>
      </c>
      <c r="AW462" s="855">
        <f t="shared" si="686"/>
        <v>0.68333333333333024</v>
      </c>
      <c r="AX462" s="1060"/>
      <c r="AY462" s="1060"/>
      <c r="AZ462" s="1060"/>
      <c r="BA462" s="1060"/>
      <c r="BB462" s="1060"/>
      <c r="BC462" s="1060"/>
      <c r="BD462" s="1060"/>
      <c r="BE462" s="1060"/>
      <c r="BF462" s="1060"/>
      <c r="BG462" s="1060"/>
      <c r="BH462" s="1060"/>
      <c r="BI462" s="1060"/>
      <c r="BJ462" s="1060"/>
      <c r="BK462" s="1060"/>
      <c r="BL462" s="1060"/>
      <c r="BM462" s="1060"/>
      <c r="BN462" s="1060"/>
      <c r="BO462" s="1060"/>
      <c r="BP462" s="1060"/>
      <c r="BQ462" s="1060"/>
      <c r="BR462" s="1060"/>
      <c r="BS462" s="1060"/>
      <c r="BT462" s="1060"/>
      <c r="BU462" s="1060"/>
      <c r="BV462" s="1060"/>
      <c r="BW462" s="1060">
        <v>50.5</v>
      </c>
      <c r="BX462" s="1060">
        <v>724</v>
      </c>
      <c r="BY462" s="1054">
        <f t="shared" ref="BY462:BY468" si="705">(BX462-BX461)*CB$1/((C462)/24)</f>
        <v>42</v>
      </c>
      <c r="BZ462" s="1054">
        <f t="shared" ref="BZ462:BZ468" si="706">CB$3/BY462</f>
        <v>17.761904761904763</v>
      </c>
      <c r="CA462" s="1060">
        <v>339</v>
      </c>
      <c r="CB462" s="1061">
        <f t="shared" si="667"/>
        <v>40124.784375000003</v>
      </c>
      <c r="CC462" s="208">
        <f t="shared" ref="CC462:CC468" si="707">(CB462-CB461)/((C462/24))</f>
        <v>674.609375</v>
      </c>
      <c r="CD462" s="208">
        <f t="shared" ref="CD462:CD468" si="708">(CB462-CB461)/(C462)</f>
        <v>28.108723958333332</v>
      </c>
      <c r="CE462" s="230">
        <f t="shared" si="700"/>
        <v>671.62572339436986</v>
      </c>
      <c r="CF462" s="1060"/>
      <c r="CG462" s="208">
        <f>CC462/(AVERAGE(BY462,BY463)*AVERAGE((D$458,D$456,D$437,D$451,D$443,D$444,D$449,D$430,D$436,D$428))*0.01)</f>
        <v>510.44898229418891</v>
      </c>
      <c r="CH462" s="855">
        <f t="shared" si="591"/>
        <v>0.90430211126005366</v>
      </c>
      <c r="CI462" s="1060"/>
      <c r="CJ462" s="1060"/>
      <c r="CK462" s="1060"/>
      <c r="CL462" s="1060"/>
      <c r="CM462" s="1060"/>
      <c r="CN462" s="110"/>
    </row>
    <row r="463" spans="1:92" s="337" customFormat="1">
      <c r="A463" s="1036">
        <f t="shared" si="585"/>
        <v>41618</v>
      </c>
      <c r="B463" s="1037">
        <v>0.33333333333333398</v>
      </c>
      <c r="C463" s="847">
        <f t="shared" si="690"/>
        <v>24</v>
      </c>
      <c r="D463" s="1064">
        <v>2.77</v>
      </c>
      <c r="E463" s="1064">
        <v>77.25</v>
      </c>
      <c r="F463" s="539"/>
      <c r="G463" s="1064">
        <v>6.15</v>
      </c>
      <c r="H463" s="539"/>
      <c r="I463" s="539"/>
      <c r="J463" s="539"/>
      <c r="K463" s="539"/>
      <c r="L463" s="539"/>
      <c r="M463" s="539"/>
      <c r="N463" s="539"/>
      <c r="O463" s="539"/>
      <c r="P463" s="539"/>
      <c r="Q463" s="539"/>
      <c r="R463" s="539"/>
      <c r="S463" s="539"/>
      <c r="T463" s="539"/>
      <c r="U463" s="539"/>
      <c r="V463" s="1064">
        <v>2.4</v>
      </c>
      <c r="W463" s="1064">
        <v>66.55</v>
      </c>
      <c r="X463" s="539"/>
      <c r="Y463" s="539"/>
      <c r="Z463" s="539"/>
      <c r="AA463" s="539"/>
      <c r="AB463" s="539"/>
      <c r="AC463" s="539"/>
      <c r="AD463" s="1021">
        <f>D458*(100-E458)/(100-W463)</f>
        <v>2.2612855007473844</v>
      </c>
      <c r="AE463" s="1055">
        <f>D458-V463</f>
        <v>0.70000000000000018</v>
      </c>
      <c r="AF463" s="847">
        <f>100*(AVERAGE(D$458,D$456,D$437,D$451,D$443,D$444,D$449,D$430,D$436,D$463)-V463)/AVERAGE(D$458,D$456,D$437,D$451,D$443,D$444,D$449,D$430,D$436,D$463)</f>
        <v>27.051671732522799</v>
      </c>
      <c r="AG463" s="847">
        <f>100*(1-((100-AVERAGE(E$458,E$456,E$437,E$451,E$443,E$444,E$449,E$430,E$436,E$463))/(100-W463)))</f>
        <v>29.45889387144992</v>
      </c>
      <c r="AH463" s="1055">
        <f>E458-W463</f>
        <v>9.0499999999999972</v>
      </c>
      <c r="AI463" s="847">
        <f>100*(1-((V463*W463)/(AVERAGE(D$458,D$456,D$437,D$451,D$443,D$444,D$449,D$430,D$436,D$463)*AVERAGE(E$458,E$456,E$437,E$451,E$443,E$444,E$449,E$430,E$436,E$463))))</f>
        <v>36.459985783458883</v>
      </c>
      <c r="AJ463" s="847">
        <f>100*100*((AVERAGE(E$458,E$456,E$437,E$451,E$443,E$444,E$449,E$430,E$436,E$463)-W463)/((100-W463)*AVERAGE(E$458,E$456,E$437,E$451,E$443,E$444,E$449,E$430,E$436,E$463)))</f>
        <v>38.556742934204912</v>
      </c>
      <c r="AK463" s="1064">
        <v>7.15</v>
      </c>
      <c r="AL463" s="539">
        <v>35.200000000000003</v>
      </c>
      <c r="AM463" s="1072">
        <v>1253</v>
      </c>
      <c r="AN463" s="334">
        <f t="shared" si="701"/>
        <v>45.36</v>
      </c>
      <c r="AO463" s="334">
        <f t="shared" si="702"/>
        <v>31.150793650793652</v>
      </c>
      <c r="AP463" s="1072">
        <v>598</v>
      </c>
      <c r="AQ463" s="348">
        <f t="shared" si="619"/>
        <v>35544.309375000004</v>
      </c>
      <c r="AR463" s="348">
        <f t="shared" si="703"/>
        <v>965.55000000000291</v>
      </c>
      <c r="AS463" s="512">
        <f t="shared" si="704"/>
        <v>40.231250000000124</v>
      </c>
      <c r="AT463" s="334">
        <f>AR463/(AVERAGE(AN463,AN464)*(AVERAGE(D$458,D$456,D$437,D$451,D$443,D$444,D$449,D$430,D$436,D$463))*AVERAGE(E$458,E$456,E$437,E$451,E$443,E$444,E$449,E$430,E$436,E$463)*0.0001)</f>
        <v>635.11298466493633</v>
      </c>
      <c r="AU463" s="334">
        <f>(AQ463-AQ457)/(AVERAGE(AN457:AN463)*((AVERAGE(D$458,D$456,D$437,D$451,D$443,D$444,D$449,D$430,D$436,D$463)*AVERAGE(E$458,E$456,E$437,E$451,E$443,E$444,E$449,E$430,E$436,E$463))-(V463*W463))*0.0001*(SUM(C457:C463)/24))</f>
        <v>1607.0391492836529</v>
      </c>
      <c r="AV463" s="512">
        <f>AR463/(AVERAGE(AN464,AN463)*AVERAGE(D$458,D$456,D$437,D$451,D$443,D$444,D$449,D$430,D$436,D$463)*0.01)</f>
        <v>485.25172480339796</v>
      </c>
      <c r="AW463" s="848">
        <f t="shared" si="686"/>
        <v>0.68333333333333535</v>
      </c>
      <c r="AX463" s="539">
        <v>68.8</v>
      </c>
      <c r="AY463" s="539">
        <v>31.1</v>
      </c>
      <c r="AZ463" s="539">
        <v>0</v>
      </c>
      <c r="BA463" s="539">
        <v>16</v>
      </c>
      <c r="BB463" s="539">
        <v>100</v>
      </c>
      <c r="BC463" s="539"/>
      <c r="BD463" s="539"/>
      <c r="BE463" s="539"/>
      <c r="BF463" s="539"/>
      <c r="BG463" s="1064">
        <v>2.4900000000000002</v>
      </c>
      <c r="BH463" s="1064">
        <v>61.68</v>
      </c>
      <c r="BI463" s="539"/>
      <c r="BJ463" s="539"/>
      <c r="BK463" s="539"/>
      <c r="BL463" s="539"/>
      <c r="BM463" s="539"/>
      <c r="BN463" s="539"/>
      <c r="BO463" s="847">
        <f>D458*(100-E458)/(100-BH463)</f>
        <v>1.9739039665970777</v>
      </c>
      <c r="BP463" s="1055">
        <f>D458-BG463</f>
        <v>0.60999999999999988</v>
      </c>
      <c r="BQ463" s="1056">
        <f>100*(AVERAGE(D$458,D$456,D$437,D$451,D$443,D$444,D$449,D$430,D$436,D$463)-BG463)/AVERAGE(D$458,D$456,D$437,D$451,D$443,D$444,D$449,D$430,D$436,D$463)</f>
        <v>24.316109422492396</v>
      </c>
      <c r="BR463" s="1056">
        <f>100*(1-((100-AVERAGE(E$458,E$456,E$437,E$451,E$443,E$444,E$449,E$430,E$436,E$463))/(100-BH463)))</f>
        <v>38.42379958246346</v>
      </c>
      <c r="BS463" s="1055">
        <f>E458-BH463</f>
        <v>13.919999999999995</v>
      </c>
      <c r="BT463" s="1055">
        <f>100*(1-((BG463*BH463)/(AVERAGE(D$458,D$456,D$437,D$451,D$443,D$444,D$449,D$430,D$436,D$463)*AVERAGE(E$458,E$456,E$437,E$451,E$443,E$444,E$449,E$430,E$436,E$463))))</f>
        <v>38.901335390546713</v>
      </c>
      <c r="BU463" s="847">
        <f>100*100*((AVERAGE(E$458,E$456,E$437,E$451,E$443,E$444,E$449,E$430,E$436,E$463)-BH463)/((100-BH463)*AVERAGE(E$458,E$456,E$437,E$451,E$443,E$444,E$449,E$430,E$436,E$463)))</f>
        <v>50.290298390743239</v>
      </c>
      <c r="BV463" s="1064">
        <v>7.21</v>
      </c>
      <c r="BW463" s="539">
        <v>50.6</v>
      </c>
      <c r="BX463" s="539">
        <v>743</v>
      </c>
      <c r="BY463" s="1056">
        <f t="shared" si="705"/>
        <v>38</v>
      </c>
      <c r="BZ463" s="1056">
        <f t="shared" si="706"/>
        <v>19.631578947368421</v>
      </c>
      <c r="CA463" s="539">
        <v>349</v>
      </c>
      <c r="CB463" s="1067">
        <f t="shared" si="667"/>
        <v>40738.065625000003</v>
      </c>
      <c r="CC463" s="334">
        <f t="shared" si="707"/>
        <v>613.28125</v>
      </c>
      <c r="CD463" s="334">
        <f t="shared" si="708"/>
        <v>25.553385416666668</v>
      </c>
      <c r="CE463" s="512">
        <f>CC463/(AVERAGE(BY464,BY463)*(AVERAGE(D$458,D$456,D$437,D$451,D$443,D$444,D$449,D$430,D$436,D$463))*AVERAGE(E$458,E$456,E$437,E$451,E$443,E$444,E$449,E$430,E$436,E$463)*0.0001)</f>
        <v>677.71202631928986</v>
      </c>
      <c r="CF463" s="334">
        <f>(CB463-CB457)/(AVERAGE(BY457:BY463)*((AVERAGE(D$458,D$456,D$437,D$451,D$443,D$444,D$449,D$430,D$436,D$463)*AVERAGE(E$458,E$456,E$437,E$451,E$443,E$444,E$449,E$430,E$436,E$463))-(BG463*BH463))*0.0001*(SUM(C457:C463)/24))</f>
        <v>1415.2883126313191</v>
      </c>
      <c r="CG463" s="334">
        <f>CC463/(AVERAGE(BY463,BY464)*AVERAGE((D$458,D$456,D$437,D$451,D$443,D$444,D$449,D$430,D$436,D$463))*0.01)</f>
        <v>517.79909658899021</v>
      </c>
      <c r="CH463" s="848">
        <f t="shared" si="591"/>
        <v>0.82209282841823061</v>
      </c>
      <c r="CI463" s="539">
        <v>68.2</v>
      </c>
      <c r="CJ463" s="539">
        <v>31.7</v>
      </c>
      <c r="CK463" s="539">
        <v>0</v>
      </c>
      <c r="CL463" s="539">
        <v>22</v>
      </c>
      <c r="CM463" s="539">
        <v>320</v>
      </c>
      <c r="CN463" s="442"/>
    </row>
    <row r="464" spans="1:92">
      <c r="A464" s="1034">
        <f t="shared" si="585"/>
        <v>41619</v>
      </c>
      <c r="B464" s="1035">
        <v>0.33333333333333398</v>
      </c>
      <c r="C464" s="854">
        <f t="shared" si="690"/>
        <v>24</v>
      </c>
      <c r="D464" s="1060"/>
      <c r="E464" s="1060"/>
      <c r="F464" s="1060"/>
      <c r="G464" s="1060"/>
      <c r="H464" s="1060"/>
      <c r="I464" s="1060"/>
      <c r="J464" s="1060"/>
      <c r="K464" s="1060"/>
      <c r="L464" s="1060"/>
      <c r="M464" s="1060"/>
      <c r="N464" s="1060"/>
      <c r="O464" s="1060"/>
      <c r="P464" s="1060"/>
      <c r="Q464" s="1060"/>
      <c r="R464" s="1060"/>
      <c r="S464" s="1060"/>
      <c r="T464" s="1060"/>
      <c r="U464" s="1060"/>
      <c r="V464" s="1060"/>
      <c r="W464" s="1060"/>
      <c r="X464" s="1060"/>
      <c r="Y464" s="1060"/>
      <c r="Z464" s="1060"/>
      <c r="AA464" s="1060"/>
      <c r="AB464" s="1060"/>
      <c r="AC464" s="1060"/>
      <c r="AD464" s="1060"/>
      <c r="AE464" s="1060"/>
      <c r="AF464" s="1060"/>
      <c r="AG464" s="1060"/>
      <c r="AH464" s="1060"/>
      <c r="AI464" s="1060"/>
      <c r="AJ464" s="1060"/>
      <c r="AK464" s="1060"/>
      <c r="AL464" s="1060">
        <v>35.1</v>
      </c>
      <c r="AM464" s="486">
        <v>1288</v>
      </c>
      <c r="AN464" s="208">
        <f t="shared" si="701"/>
        <v>75.600000000000009</v>
      </c>
      <c r="AO464" s="208">
        <f t="shared" si="702"/>
        <v>18.69047619047619</v>
      </c>
      <c r="AP464" s="486">
        <v>614</v>
      </c>
      <c r="AQ464" s="76">
        <f t="shared" si="619"/>
        <v>36509.859375</v>
      </c>
      <c r="AR464" s="76">
        <f t="shared" si="703"/>
        <v>965.54999999999563</v>
      </c>
      <c r="AS464" s="230">
        <f t="shared" si="704"/>
        <v>40.231249999999818</v>
      </c>
      <c r="AT464" s="208">
        <f t="shared" ref="AT464" si="709">AR464/(AVERAGE(AN464,AN465)*(AVERAGE(D$458,D$456,D$437,D$451,D$443,D$444,D$449,D$430,D$436,D$463))*AVERAGE(E$458,E$456,E$437,E$451,E$443,E$444,E$449,E$430,E$436,E$463)*0.0001)</f>
        <v>555.72386158181507</v>
      </c>
      <c r="AU464" s="1060"/>
      <c r="AV464" s="230">
        <f t="shared" ref="AV464" si="710">AR464/(AVERAGE(AN465,AN464)*AVERAGE(D$458,D$456,D$437,D$451,D$443,D$444,D$449,D$430,D$436,D$463)*0.01)</f>
        <v>424.59525920297006</v>
      </c>
      <c r="AW464" s="855">
        <f t="shared" si="686"/>
        <v>0.68333333333333024</v>
      </c>
      <c r="AX464" s="1060"/>
      <c r="AY464" s="1060"/>
      <c r="AZ464" s="1060"/>
      <c r="BA464" s="1060"/>
      <c r="BB464" s="1060"/>
      <c r="BC464" s="1060"/>
      <c r="BD464" s="1060"/>
      <c r="BE464" s="1060"/>
      <c r="BF464" s="1060"/>
      <c r="BG464" s="1060"/>
      <c r="BH464" s="1060"/>
      <c r="BI464" s="1060"/>
      <c r="BJ464" s="1060"/>
      <c r="BK464" s="1060"/>
      <c r="BL464" s="1060"/>
      <c r="BM464" s="1060"/>
      <c r="BN464" s="1060"/>
      <c r="BO464" s="1060"/>
      <c r="BP464" s="1060"/>
      <c r="BQ464" s="1060"/>
      <c r="BR464" s="1060"/>
      <c r="BS464" s="1060"/>
      <c r="BT464" s="1060"/>
      <c r="BU464" s="1060"/>
      <c r="BV464" s="1060"/>
      <c r="BW464" s="1060">
        <v>50.5</v>
      </c>
      <c r="BX464" s="1060">
        <v>760</v>
      </c>
      <c r="BY464" s="1054">
        <f t="shared" si="705"/>
        <v>34</v>
      </c>
      <c r="BZ464" s="1054">
        <f t="shared" si="706"/>
        <v>21.941176470588236</v>
      </c>
      <c r="CA464" s="1060">
        <v>358</v>
      </c>
      <c r="CB464" s="1061">
        <f t="shared" si="667"/>
        <v>41290.018750000003</v>
      </c>
      <c r="CC464" s="208">
        <f t="shared" si="707"/>
        <v>551.953125</v>
      </c>
      <c r="CD464" s="208">
        <f t="shared" si="708"/>
        <v>22.998046875</v>
      </c>
      <c r="CE464" s="230">
        <f t="shared" ref="CE464" si="711">CC464/(AVERAGE(BY465,BY464)*(AVERAGE(D$458,D$456,D$437,D$451,D$443,D$444,D$449,D$430,D$436,D$463))*AVERAGE(E$458,E$456,E$437,E$451,E$443,E$444,E$449,E$430,E$436,E$463)*0.0001)</f>
        <v>645.81969566897033</v>
      </c>
      <c r="CF464" s="1060"/>
      <c r="CG464" s="208">
        <f>CC464/(AVERAGE(BY464,BY465)*AVERAGE((D$458,D$456,D$437,D$451,D$443,D$444,D$449,D$430,D$436,D$463))*0.01)</f>
        <v>493.43208027892007</v>
      </c>
      <c r="CH464" s="855">
        <f t="shared" si="591"/>
        <v>0.73988354557640745</v>
      </c>
      <c r="CI464" s="1060"/>
      <c r="CJ464" s="1060"/>
      <c r="CK464" s="1060"/>
      <c r="CL464" s="1060"/>
      <c r="CM464" s="1060"/>
      <c r="CN464" s="110"/>
    </row>
    <row r="465" spans="1:92" s="337" customFormat="1">
      <c r="A465" s="1036">
        <f t="shared" si="585"/>
        <v>41620</v>
      </c>
      <c r="B465" s="1037">
        <v>0.33333333333333398</v>
      </c>
      <c r="C465" s="847">
        <f t="shared" ref="C465:C480" si="712">((A465-A464)+(B465-B464))*24</f>
        <v>24</v>
      </c>
      <c r="D465" s="539">
        <v>2.7</v>
      </c>
      <c r="E465" s="539">
        <v>78.400000000000006</v>
      </c>
      <c r="F465" s="539">
        <v>37400</v>
      </c>
      <c r="G465" s="539"/>
      <c r="H465" s="539"/>
      <c r="I465" s="539">
        <v>3459</v>
      </c>
      <c r="J465" s="539"/>
      <c r="K465" s="539"/>
      <c r="L465" s="539"/>
      <c r="M465" s="539"/>
      <c r="N465" s="539"/>
      <c r="O465" s="539"/>
      <c r="P465" s="539"/>
      <c r="Q465" s="539"/>
      <c r="R465" s="539"/>
      <c r="S465" s="539"/>
      <c r="T465" s="539"/>
      <c r="U465" s="539"/>
      <c r="V465" s="539">
        <v>2.2999999999999998</v>
      </c>
      <c r="W465" s="539">
        <v>67.8</v>
      </c>
      <c r="X465" s="539">
        <v>23700</v>
      </c>
      <c r="Y465" s="539"/>
      <c r="Z465" s="539"/>
      <c r="AA465" s="539"/>
      <c r="AB465" s="539"/>
      <c r="AC465" s="539"/>
      <c r="AD465" s="1021">
        <f>D463*(100-E463)/(100-W465)</f>
        <v>1.9570652173913041</v>
      </c>
      <c r="AE465" s="1055">
        <f>D463-V465</f>
        <v>0.4700000000000002</v>
      </c>
      <c r="AF465" s="847">
        <f>100*(AVERAGE(D$458,D$456,D$437,D$451,D$443,D$444,D$449,D$465,D$436,D$463)-V465)/AVERAGE(D$458,D$456,D$437,D$451,D$443,D$444,D$449,D$465,D$436,D$463)</f>
        <v>29.230769230769234</v>
      </c>
      <c r="AG465" s="847">
        <f>100*(1-((100-AVERAGE(E$458,E$456,E$437,E$451,E$443,E$444,E$449,E$465,E$436,E$463))/(100-W465)))</f>
        <v>29.049689440993788</v>
      </c>
      <c r="AH465" s="1055">
        <f>E463-W465</f>
        <v>9.4500000000000028</v>
      </c>
      <c r="AI465" s="847">
        <f>100*(1-((V465*W465)/(AVERAGE(D$458,D$456,D$437,D$451,D$443,D$444,D$449,D$465,D$436,D$463)*AVERAGE(E$458,E$456,E$437,E$451,E$443,E$444,E$449,E$465,E$436,E$463))))</f>
        <v>37.810692301710283</v>
      </c>
      <c r="AJ465" s="847">
        <f>100*100*((AVERAGE(E$458,E$456,E$437,E$451,E$443,E$444,E$449,E$465,E$436,E$463)-W465)/((100-W465)*AVERAGE(E$458,E$456,E$437,E$451,E$443,E$444,E$449,E$465,E$436,E$463)))</f>
        <v>37.651566271345345</v>
      </c>
      <c r="AK465" s="539"/>
      <c r="AL465" s="539">
        <v>35.1</v>
      </c>
      <c r="AM465" s="1072">
        <v>1317</v>
      </c>
      <c r="AN465" s="334">
        <f t="shared" si="701"/>
        <v>62.64</v>
      </c>
      <c r="AO465" s="334">
        <f t="shared" si="702"/>
        <v>22.557471264367816</v>
      </c>
      <c r="AP465" s="1072">
        <v>631</v>
      </c>
      <c r="AQ465" s="348">
        <f t="shared" si="619"/>
        <v>37535.756250000006</v>
      </c>
      <c r="AR465" s="348">
        <f t="shared" si="703"/>
        <v>1025.8968750000058</v>
      </c>
      <c r="AS465" s="512">
        <f t="shared" si="704"/>
        <v>42.74570312500024</v>
      </c>
      <c r="AT465" s="334">
        <f>AR465/(AVERAGE(AN465,AN466)*(AVERAGE(D$458,D$456,D$437,D$451,D$443,D$444,D$449,D$465,D$436,D$463))*AVERAGE(E$458,E$456,E$437,E$451,E$443,E$444,E$449,E$465,E$436,E$463)*0.0001)</f>
        <v>664.60451611203121</v>
      </c>
      <c r="AU465" s="334">
        <f>(AQ465-AQ459)/(AVERAGE(AN459:AN465)*((AVERAGE(D$458,D$456,D$437,D$451,D$443,D$444,D$449,D$465,D$436,D$463)*AVERAGE(E$458,E$456,E$437,E$451,E$443,E$444,E$449,E$465,E$436,E$463))-(V465*W465))*0.0001*(SUM(C459:C465)/24))</f>
        <v>1481.0135185060251</v>
      </c>
      <c r="AV465" s="512">
        <f>AR465/(AVERAGE(AN466,AN465)*AVERAGE(D$458,D$456,D$437,D$451,D$443,D$444,D$449,D$465,D$436,D$463)*0.01)</f>
        <v>512.76896836107653</v>
      </c>
      <c r="AW465" s="848">
        <f t="shared" si="686"/>
        <v>0.7260416666666708</v>
      </c>
      <c r="AX465" s="539"/>
      <c r="AY465" s="539"/>
      <c r="AZ465" s="539"/>
      <c r="BA465" s="539"/>
      <c r="BB465" s="539"/>
      <c r="BC465" s="539"/>
      <c r="BD465" s="539"/>
      <c r="BE465" s="539"/>
      <c r="BF465" s="539"/>
      <c r="BG465" s="539">
        <v>2.2999999999999998</v>
      </c>
      <c r="BH465" s="539">
        <v>64.5</v>
      </c>
      <c r="BI465" s="539">
        <v>22400</v>
      </c>
      <c r="BJ465" s="539"/>
      <c r="BK465" s="539">
        <v>2765</v>
      </c>
      <c r="BL465" s="539"/>
      <c r="BM465" s="539"/>
      <c r="BN465" s="539"/>
      <c r="BO465" s="847">
        <f>D463*(100-E463)/(100-BH465)</f>
        <v>1.7751408450704225</v>
      </c>
      <c r="BP465" s="1055">
        <f>D463-BG465</f>
        <v>0.4700000000000002</v>
      </c>
      <c r="BQ465" s="1056">
        <f>100*(AVERAGE(D$458,D$456,D$437,D$451,D$443,D$444,D$449,D$465,D$436,D$463)-BG465)/AVERAGE(D$458,D$456,D$437,D$451,D$443,D$444,D$449,D$465,D$436,D$463)</f>
        <v>29.230769230769234</v>
      </c>
      <c r="BR465" s="1056">
        <f>100*(1-((100-AVERAGE(E$458,E$456,E$437,E$451,E$443,E$444,E$449,E$465,E$436,E$463))/(100-BH465)))</f>
        <v>35.645070422535198</v>
      </c>
      <c r="BS465" s="1055">
        <f>E463-BH465</f>
        <v>12.75</v>
      </c>
      <c r="BT465" s="1055">
        <f>100*(1-((BG465*BH465)/(AVERAGE(D$458,D$456,D$437,D$451,D$443,D$444,D$449,D$465,D$436,D$463)*AVERAGE(E$458,E$456,E$437,E$451,E$443,E$444,E$449,E$465,E$436,E$463))))</f>
        <v>40.837605508264183</v>
      </c>
      <c r="BU465" s="847">
        <f>100*100*((AVERAGE(E$458,E$456,E$437,E$451,E$443,E$444,E$449,E$465,E$436,E$463)-BH465)/((100-BH465)*AVERAGE(E$458,E$456,E$437,E$451,E$443,E$444,E$449,E$465,E$436,E$463)))</f>
        <v>46.19989945114343</v>
      </c>
      <c r="BV465" s="539"/>
      <c r="BW465" s="539">
        <v>50.4</v>
      </c>
      <c r="BX465" s="539">
        <v>777</v>
      </c>
      <c r="BY465" s="1056">
        <f t="shared" si="705"/>
        <v>34</v>
      </c>
      <c r="BZ465" s="1056">
        <f t="shared" si="706"/>
        <v>21.941176470588236</v>
      </c>
      <c r="CA465" s="539">
        <v>366</v>
      </c>
      <c r="CB465" s="1067">
        <f t="shared" si="667"/>
        <v>41780.643750000003</v>
      </c>
      <c r="CC465" s="334">
        <f t="shared" si="707"/>
        <v>490.625</v>
      </c>
      <c r="CD465" s="334">
        <f t="shared" si="708"/>
        <v>20.442708333333332</v>
      </c>
      <c r="CE465" s="512">
        <f>CC465/(AVERAGE(BY466,BY465)*(AVERAGE(D$458,D$456,D$437,D$451,D$443,D$444,D$449,D$465,D$436,D$463))*AVERAGE(E$458,E$456,E$437,E$451,E$443,E$444,E$449,E$465,E$436,E$463)*0.0001)</f>
        <v>611.44569003850438</v>
      </c>
      <c r="CF465" s="334">
        <f>(CB465-CB459)/(AVERAGE(BY459:BY465)*((AVERAGE(D$458,D$456,D$437,D$451,D$443,D$444,D$449,D$465,D$436,D$463)*AVERAGE(E$458,E$456,E$437,E$451,E$443,E$444,E$449,E$465,E$436,E$463))-(BG465*BH465))*0.0001*(SUM(C459:C465)/24))</f>
        <v>1365.9226496032907</v>
      </c>
      <c r="CG465" s="334">
        <f>CC465/(AVERAGE(BY465,BY466)*AVERAGE((D$458,D$456,D$437,D$451,D$443,D$444,D$449,D$465,D$436,D$463))*0.01)</f>
        <v>471.75480769230768</v>
      </c>
      <c r="CH465" s="848">
        <f t="shared" si="591"/>
        <v>0.6576742627345844</v>
      </c>
      <c r="CI465" s="539"/>
      <c r="CJ465" s="539"/>
      <c r="CK465" s="539"/>
      <c r="CL465" s="539"/>
      <c r="CM465" s="539"/>
      <c r="CN465" s="442"/>
    </row>
    <row r="466" spans="1:92">
      <c r="A466" s="1034">
        <f t="shared" si="585"/>
        <v>41621</v>
      </c>
      <c r="B466" s="1035">
        <v>0.33333333333333398</v>
      </c>
      <c r="C466" s="854">
        <f t="shared" si="712"/>
        <v>24</v>
      </c>
      <c r="D466" s="1060"/>
      <c r="E466" s="1060"/>
      <c r="F466" s="1060"/>
      <c r="G466" s="1060"/>
      <c r="H466" s="1060"/>
      <c r="I466" s="1060"/>
      <c r="J466" s="1060"/>
      <c r="K466" s="1060"/>
      <c r="L466" s="1060"/>
      <c r="M466" s="1060"/>
      <c r="N466" s="1060"/>
      <c r="O466" s="1060"/>
      <c r="P466" s="1060"/>
      <c r="Q466" s="1060"/>
      <c r="R466" s="1060"/>
      <c r="S466" s="1060"/>
      <c r="T466" s="1060"/>
      <c r="U466" s="1060"/>
      <c r="V466" s="1060"/>
      <c r="W466" s="1060"/>
      <c r="X466" s="1060"/>
      <c r="Y466" s="1060"/>
      <c r="Z466" s="1060"/>
      <c r="AA466" s="1060"/>
      <c r="AB466" s="1060"/>
      <c r="AC466" s="1060"/>
      <c r="AD466" s="1060"/>
      <c r="AE466" s="1060"/>
      <c r="AF466" s="1060"/>
      <c r="AG466" s="1060"/>
      <c r="AH466" s="1060"/>
      <c r="AI466" s="1060"/>
      <c r="AJ466" s="1060"/>
      <c r="AK466" s="1060"/>
      <c r="AL466" s="1060">
        <v>35.200000000000003</v>
      </c>
      <c r="AM466" s="486">
        <v>1345</v>
      </c>
      <c r="AN466" s="208">
        <f t="shared" si="701"/>
        <v>60.480000000000004</v>
      </c>
      <c r="AO466" s="208">
        <f t="shared" si="702"/>
        <v>23.363095238095237</v>
      </c>
      <c r="AP466" s="486">
        <v>648</v>
      </c>
      <c r="AQ466" s="76">
        <f t="shared" si="619"/>
        <v>38561.653125000004</v>
      </c>
      <c r="AR466" s="76">
        <f t="shared" si="703"/>
        <v>1025.8968749999985</v>
      </c>
      <c r="AS466" s="230">
        <f t="shared" si="704"/>
        <v>42.745703124999942</v>
      </c>
      <c r="AT466" s="208">
        <f t="shared" ref="AT466:AT469" si="713">AR466/(AVERAGE(AN466,AN467)*(AVERAGE(D$458,D$456,D$437,D$451,D$443,D$444,D$449,D$465,D$436,D$463))*AVERAGE(E$458,E$456,E$437,E$451,E$443,E$444,E$449,E$465,E$436,E$463)*0.0001)</f>
        <v>688.77195306155465</v>
      </c>
      <c r="AU466" s="1062"/>
      <c r="AV466" s="230">
        <f t="shared" ref="AV466:AV469" si="714">AR466/(AVERAGE(AN467,AN466)*AVERAGE(D$458,D$456,D$437,D$451,D$443,D$444,D$449,D$465,D$436,D$463)*0.01)</f>
        <v>531.41511266511191</v>
      </c>
      <c r="AW466" s="855">
        <f t="shared" si="686"/>
        <v>0.72604166666666559</v>
      </c>
      <c r="AX466" s="1060"/>
      <c r="AY466" s="1060"/>
      <c r="AZ466" s="1060"/>
      <c r="BA466" s="1060"/>
      <c r="BB466" s="1060"/>
      <c r="BC466" s="1060"/>
      <c r="BD466" s="1060"/>
      <c r="BE466" s="1060"/>
      <c r="BF466" s="1060"/>
      <c r="BG466" s="1060"/>
      <c r="BH466" s="1060"/>
      <c r="BI466" s="1060"/>
      <c r="BJ466" s="1060"/>
      <c r="BK466" s="1060"/>
      <c r="BL466" s="1060"/>
      <c r="BM466" s="1060"/>
      <c r="BN466" s="1060"/>
      <c r="BO466" s="1060"/>
      <c r="BP466" s="1060"/>
      <c r="BQ466" s="1060"/>
      <c r="BR466" s="1060"/>
      <c r="BS466" s="1060"/>
      <c r="BT466" s="1060"/>
      <c r="BU466" s="1060"/>
      <c r="BV466" s="1060"/>
      <c r="BW466" s="1060">
        <v>50.6</v>
      </c>
      <c r="BX466" s="1060">
        <v>792</v>
      </c>
      <c r="BY466" s="1054">
        <f t="shared" si="705"/>
        <v>30</v>
      </c>
      <c r="BZ466" s="1054">
        <f t="shared" si="706"/>
        <v>24.866666666666667</v>
      </c>
      <c r="CA466" s="1060">
        <v>375</v>
      </c>
      <c r="CB466" s="1061">
        <f t="shared" si="667"/>
        <v>42332.596875000003</v>
      </c>
      <c r="CC466" s="208">
        <f t="shared" si="707"/>
        <v>551.953125</v>
      </c>
      <c r="CD466" s="208">
        <f t="shared" si="708"/>
        <v>22.998046875</v>
      </c>
      <c r="CE466" s="230">
        <f t="shared" ref="CE466:CE469" si="715">CC466/(AVERAGE(BY467,BY466)*(AVERAGE(D$458,D$456,D$437,D$451,D$443,D$444,D$449,D$465,D$436,D$463))*AVERAGE(E$458,E$456,E$437,E$451,E$443,E$444,E$449,E$465,E$436,E$463)*0.0001)</f>
        <v>710.06596262536004</v>
      </c>
      <c r="CF466" s="1062"/>
      <c r="CG466" s="208">
        <f>CC466/(AVERAGE(BY466,BY467)*AVERAGE((D$458,D$456,D$437,D$451,D$443,D$444,D$449,D$465,D$436,D$463))*0.01)</f>
        <v>547.84429280397023</v>
      </c>
      <c r="CH466" s="855">
        <f t="shared" si="591"/>
        <v>0.73988354557640745</v>
      </c>
      <c r="CI466" s="1060"/>
      <c r="CJ466" s="1060"/>
      <c r="CK466" s="1060"/>
      <c r="CL466" s="1060"/>
      <c r="CM466" s="1060"/>
      <c r="CN466" s="110"/>
    </row>
    <row r="467" spans="1:92">
      <c r="A467" s="1034">
        <f t="shared" ref="A467:A530" si="716">A466+1</f>
        <v>41622</v>
      </c>
      <c r="B467" s="1035">
        <v>0.33333333333333398</v>
      </c>
      <c r="C467" s="854">
        <f t="shared" si="712"/>
        <v>24</v>
      </c>
      <c r="D467" s="1060"/>
      <c r="E467" s="1060"/>
      <c r="F467" s="1060"/>
      <c r="G467" s="1060"/>
      <c r="H467" s="1060"/>
      <c r="I467" s="1060"/>
      <c r="J467" s="1060"/>
      <c r="K467" s="1060"/>
      <c r="L467" s="1060"/>
      <c r="M467" s="1060"/>
      <c r="N467" s="1060"/>
      <c r="O467" s="1060"/>
      <c r="P467" s="1060"/>
      <c r="Q467" s="1060"/>
      <c r="R467" s="1060"/>
      <c r="S467" s="1060"/>
      <c r="T467" s="1060"/>
      <c r="U467" s="1060"/>
      <c r="V467" s="1060"/>
      <c r="W467" s="1060"/>
      <c r="X467" s="1060"/>
      <c r="Y467" s="1060"/>
      <c r="Z467" s="1060"/>
      <c r="AA467" s="1060"/>
      <c r="AB467" s="1060"/>
      <c r="AC467" s="1060"/>
      <c r="AD467" s="1060"/>
      <c r="AE467" s="1060"/>
      <c r="AF467" s="1060"/>
      <c r="AG467" s="1060"/>
      <c r="AH467" s="1060"/>
      <c r="AI467" s="1060"/>
      <c r="AJ467" s="1060"/>
      <c r="AK467" s="1060"/>
      <c r="AL467" s="1060">
        <v>35.200000000000003</v>
      </c>
      <c r="AM467" s="486">
        <v>1372</v>
      </c>
      <c r="AN467" s="208">
        <f t="shared" si="701"/>
        <v>58.320000000000007</v>
      </c>
      <c r="AO467" s="208">
        <f t="shared" si="702"/>
        <v>24.228395061728392</v>
      </c>
      <c r="AP467" s="486">
        <v>662</v>
      </c>
      <c r="AQ467" s="76">
        <f>((AP467-AP$418)*AQ$2)</f>
        <v>39406.509375000001</v>
      </c>
      <c r="AR467" s="76">
        <f t="shared" si="703"/>
        <v>844.85624999999709</v>
      </c>
      <c r="AS467" s="230">
        <f t="shared" si="704"/>
        <v>35.202343749999876</v>
      </c>
      <c r="AT467" s="208">
        <f t="shared" si="713"/>
        <v>577.72810877711981</v>
      </c>
      <c r="AU467" s="1062"/>
      <c r="AV467" s="230">
        <f t="shared" si="714"/>
        <v>445.74034504589901</v>
      </c>
      <c r="AW467" s="855">
        <f t="shared" si="686"/>
        <v>0.59791666666666465</v>
      </c>
      <c r="AX467" s="1060"/>
      <c r="AY467" s="1060"/>
      <c r="AZ467" s="1060"/>
      <c r="BA467" s="1060"/>
      <c r="BB467" s="1060"/>
      <c r="BC467" s="1060"/>
      <c r="BD467" s="1060"/>
      <c r="BE467" s="1060"/>
      <c r="BF467" s="1060"/>
      <c r="BG467" s="1060"/>
      <c r="BH467" s="1060"/>
      <c r="BI467" s="1060"/>
      <c r="BJ467" s="1060"/>
      <c r="BK467" s="1060"/>
      <c r="BL467" s="1060"/>
      <c r="BM467" s="1060"/>
      <c r="BN467" s="1060"/>
      <c r="BO467" s="1060"/>
      <c r="BP467" s="1060"/>
      <c r="BQ467" s="1060"/>
      <c r="BR467" s="1060"/>
      <c r="BS467" s="1060"/>
      <c r="BT467" s="1060"/>
      <c r="BU467" s="1060"/>
      <c r="BV467" s="1060"/>
      <c r="BW467" s="1060">
        <v>50.5</v>
      </c>
      <c r="BX467" s="1060">
        <v>808</v>
      </c>
      <c r="BY467" s="1054">
        <f t="shared" si="705"/>
        <v>32</v>
      </c>
      <c r="BZ467" s="1054">
        <f t="shared" si="706"/>
        <v>23.3125</v>
      </c>
      <c r="CA467" s="1060">
        <v>383</v>
      </c>
      <c r="CB467" s="1061">
        <f t="shared" si="667"/>
        <v>42823.221875000003</v>
      </c>
      <c r="CC467" s="208">
        <f t="shared" si="707"/>
        <v>490.625</v>
      </c>
      <c r="CD467" s="208">
        <f t="shared" si="708"/>
        <v>20.442708333333332</v>
      </c>
      <c r="CE467" s="230">
        <f t="shared" si="715"/>
        <v>611.44569003850438</v>
      </c>
      <c r="CF467" s="1062"/>
      <c r="CG467" s="208">
        <f>CC467/(AVERAGE(BY467,BY468)*AVERAGE((D$458,D$456,D$437,D$451,D$443,D$444,D$449,D$465,D$436,D$463))*0.01)</f>
        <v>471.75480769230768</v>
      </c>
      <c r="CH467" s="855">
        <f t="shared" si="591"/>
        <v>0.6576742627345844</v>
      </c>
      <c r="CI467" s="1060"/>
      <c r="CJ467" s="1060"/>
      <c r="CK467" s="1060"/>
      <c r="CL467" s="1060"/>
      <c r="CM467" s="1060"/>
      <c r="CN467" s="110"/>
    </row>
    <row r="468" spans="1:92">
      <c r="A468" s="1034">
        <f t="shared" si="716"/>
        <v>41623</v>
      </c>
      <c r="B468" s="1035">
        <v>0.33333333333333398</v>
      </c>
      <c r="C468" s="854">
        <f t="shared" si="712"/>
        <v>24</v>
      </c>
      <c r="D468" s="1060"/>
      <c r="E468" s="1060"/>
      <c r="F468" s="1060"/>
      <c r="G468" s="1060"/>
      <c r="H468" s="1060"/>
      <c r="I468" s="1060"/>
      <c r="J468" s="1060"/>
      <c r="K468" s="1060"/>
      <c r="L468" s="1060"/>
      <c r="M468" s="1060"/>
      <c r="N468" s="1060"/>
      <c r="O468" s="1060"/>
      <c r="P468" s="1060"/>
      <c r="Q468" s="1060"/>
      <c r="R468" s="1060"/>
      <c r="S468" s="1060"/>
      <c r="T468" s="1060"/>
      <c r="U468" s="1060"/>
      <c r="V468" s="1060"/>
      <c r="W468" s="1060"/>
      <c r="X468" s="1060"/>
      <c r="Y468" s="1060"/>
      <c r="Z468" s="1060"/>
      <c r="AA468" s="1060"/>
      <c r="AB468" s="1060"/>
      <c r="AC468" s="1060"/>
      <c r="AD468" s="1060"/>
      <c r="AE468" s="1060"/>
      <c r="AF468" s="1060"/>
      <c r="AG468" s="1060"/>
      <c r="AH468" s="1060"/>
      <c r="AI468" s="1060"/>
      <c r="AJ468" s="1060"/>
      <c r="AK468" s="1060"/>
      <c r="AL468" s="1060">
        <v>35</v>
      </c>
      <c r="AM468" s="486">
        <v>1399</v>
      </c>
      <c r="AN468" s="208">
        <f t="shared" si="701"/>
        <v>58.320000000000007</v>
      </c>
      <c r="AO468" s="208">
        <f t="shared" si="702"/>
        <v>24.228395061728392</v>
      </c>
      <c r="AP468" s="486">
        <v>676</v>
      </c>
      <c r="AQ468" s="76">
        <f t="shared" si="619"/>
        <v>40251.365625000006</v>
      </c>
      <c r="AR468" s="76">
        <f t="shared" si="703"/>
        <v>844.85625000000437</v>
      </c>
      <c r="AS468" s="230">
        <f t="shared" si="704"/>
        <v>35.202343750000182</v>
      </c>
      <c r="AT468" s="208">
        <f t="shared" si="713"/>
        <v>547.32136620990764</v>
      </c>
      <c r="AU468" s="1062"/>
      <c r="AV468" s="230">
        <f t="shared" si="714"/>
        <v>422.28032688559222</v>
      </c>
      <c r="AW468" s="855">
        <f t="shared" si="686"/>
        <v>0.59791666666666976</v>
      </c>
      <c r="AX468" s="1060"/>
      <c r="AY468" s="1060"/>
      <c r="AZ468" s="1060"/>
      <c r="BA468" s="1060"/>
      <c r="BB468" s="1060"/>
      <c r="BC468" s="1060"/>
      <c r="BD468" s="1060"/>
      <c r="BE468" s="1060"/>
      <c r="BF468" s="1060"/>
      <c r="BG468" s="1060"/>
      <c r="BH468" s="1060"/>
      <c r="BI468" s="1060"/>
      <c r="BJ468" s="1060"/>
      <c r="BK468" s="1060"/>
      <c r="BL468" s="1060"/>
      <c r="BM468" s="1060"/>
      <c r="BN468" s="1060"/>
      <c r="BO468" s="1060"/>
      <c r="BP468" s="1060"/>
      <c r="BQ468" s="1060"/>
      <c r="BR468" s="1060"/>
      <c r="BS468" s="1060"/>
      <c r="BT468" s="1060"/>
      <c r="BU468" s="1060"/>
      <c r="BV468" s="1060"/>
      <c r="BW468" s="1060">
        <v>50.7</v>
      </c>
      <c r="BX468" s="1060">
        <v>824</v>
      </c>
      <c r="BY468" s="1054">
        <f t="shared" si="705"/>
        <v>32</v>
      </c>
      <c r="BZ468" s="1054">
        <f t="shared" si="706"/>
        <v>23.3125</v>
      </c>
      <c r="CA468" s="1060">
        <v>390</v>
      </c>
      <c r="CB468" s="1061">
        <f t="shared" si="667"/>
        <v>43252.518750000003</v>
      </c>
      <c r="CC468" s="208">
        <f t="shared" si="707"/>
        <v>429.296875</v>
      </c>
      <c r="CD468" s="208">
        <f t="shared" si="708"/>
        <v>17.887369791666668</v>
      </c>
      <c r="CE468" s="230">
        <f t="shared" si="715"/>
        <v>611.44569003850438</v>
      </c>
      <c r="CF468" s="1062"/>
      <c r="CG468" s="208">
        <f>CC468/(AVERAGE(BY468,BY469)*AVERAGE((D$458,D$456,D$437,D$451,D$443,D$444,D$449,D$465,D$436,D$463))*0.01)</f>
        <v>471.75480769230768</v>
      </c>
      <c r="CH468" s="855">
        <f t="shared" si="591"/>
        <v>0.57546497989276135</v>
      </c>
      <c r="CI468" s="1060"/>
      <c r="CJ468" s="1060"/>
      <c r="CK468" s="1060"/>
      <c r="CL468" s="1060"/>
      <c r="CM468" s="1060"/>
      <c r="CN468" s="110"/>
    </row>
    <row r="469" spans="1:92">
      <c r="A469" s="1034">
        <f t="shared" si="716"/>
        <v>41624</v>
      </c>
      <c r="B469" s="1035">
        <v>0.33333333333333398</v>
      </c>
      <c r="C469" s="854">
        <f t="shared" si="712"/>
        <v>24</v>
      </c>
      <c r="D469" s="1060"/>
      <c r="E469" s="1060"/>
      <c r="F469" s="1060"/>
      <c r="G469" s="1060"/>
      <c r="H469" s="1060"/>
      <c r="I469" s="1060"/>
      <c r="J469" s="1060"/>
      <c r="K469" s="1060"/>
      <c r="L469" s="1060"/>
      <c r="M469" s="1060"/>
      <c r="N469" s="1060"/>
      <c r="O469" s="1060"/>
      <c r="P469" s="1060"/>
      <c r="Q469" s="1060"/>
      <c r="R469" s="1060"/>
      <c r="S469" s="1060"/>
      <c r="T469" s="1060"/>
      <c r="U469" s="1060"/>
      <c r="V469" s="1060"/>
      <c r="W469" s="1060"/>
      <c r="X469" s="1060"/>
      <c r="Y469" s="1060"/>
      <c r="Z469" s="1060"/>
      <c r="AA469" s="1060"/>
      <c r="AB469" s="1060"/>
      <c r="AC469" s="1060"/>
      <c r="AD469" s="1060"/>
      <c r="AE469" s="1060"/>
      <c r="AF469" s="1060"/>
      <c r="AG469" s="1060"/>
      <c r="AH469" s="1060"/>
      <c r="AI469" s="1060"/>
      <c r="AJ469" s="1060"/>
      <c r="AK469" s="1060"/>
      <c r="AL469" s="1060">
        <v>35.200000000000003</v>
      </c>
      <c r="AM469" s="486">
        <v>1429</v>
      </c>
      <c r="AN469" s="208">
        <f t="shared" ref="AN469:AN496" si="717">(AM469-AM468)*AQ$1/((C468)/24)</f>
        <v>64.800000000000011</v>
      </c>
      <c r="AO469" s="208">
        <f t="shared" ref="AO469:AO496" si="718">AQ$3/AN469</f>
        <v>21.80555555555555</v>
      </c>
      <c r="AP469" s="486">
        <v>691</v>
      </c>
      <c r="AQ469" s="76">
        <f t="shared" si="619"/>
        <v>41156.568750000006</v>
      </c>
      <c r="AR469" s="76">
        <f t="shared" ref="AR469:AR483" si="719">(AQ469-AQ468)/(C469/24)</f>
        <v>905.203125</v>
      </c>
      <c r="AS469" s="230">
        <f t="shared" ref="AS469:AS483" si="720">(AQ469-AQ468)/C469</f>
        <v>37.716796875</v>
      </c>
      <c r="AT469" s="208">
        <f t="shared" si="713"/>
        <v>596.88745932330198</v>
      </c>
      <c r="AU469" s="1062"/>
      <c r="AV469" s="230">
        <f t="shared" si="714"/>
        <v>460.52255036630038</v>
      </c>
      <c r="AW469" s="855">
        <f t="shared" si="686"/>
        <v>0.640625</v>
      </c>
      <c r="AX469" s="1060"/>
      <c r="AY469" s="1060"/>
      <c r="AZ469" s="1060"/>
      <c r="BA469" s="1060"/>
      <c r="BB469" s="1060"/>
      <c r="BC469" s="1060"/>
      <c r="BD469" s="1060"/>
      <c r="BE469" s="1060"/>
      <c r="BF469" s="1060"/>
      <c r="BG469" s="1060"/>
      <c r="BH469" s="1060"/>
      <c r="BI469" s="1060"/>
      <c r="BJ469" s="1060"/>
      <c r="BK469" s="1060"/>
      <c r="BL469" s="1060"/>
      <c r="BM469" s="1060"/>
      <c r="BN469" s="1060"/>
      <c r="BO469" s="1060"/>
      <c r="BP469" s="1060"/>
      <c r="BQ469" s="1060"/>
      <c r="BR469" s="1060"/>
      <c r="BS469" s="1060"/>
      <c r="BT469" s="1060"/>
      <c r="BU469" s="1060"/>
      <c r="BV469" s="1060"/>
      <c r="BW469" s="1060">
        <v>50.5</v>
      </c>
      <c r="BX469" s="1060">
        <v>836</v>
      </c>
      <c r="BY469" s="1054">
        <f t="shared" ref="BY469:BY483" si="721">(BX469-BX468)*CB$1/((C469)/24)</f>
        <v>24</v>
      </c>
      <c r="BZ469" s="1054">
        <f t="shared" ref="BZ469:BZ483" si="722">CB$3/BY469</f>
        <v>31.083333333333332</v>
      </c>
      <c r="CA469" s="1060">
        <v>397</v>
      </c>
      <c r="CB469" s="1061">
        <f t="shared" si="667"/>
        <v>43681.815625000003</v>
      </c>
      <c r="CC469" s="208">
        <f t="shared" ref="CC469:CC483" si="723">(CB469-CB468)/((C469/24))</f>
        <v>429.296875</v>
      </c>
      <c r="CD469" s="208">
        <f t="shared" ref="CD469:CD483" si="724">(CB469-CB468)/(C469)</f>
        <v>17.887369791666668</v>
      </c>
      <c r="CE469" s="230">
        <f t="shared" si="715"/>
        <v>535.01497878369128</v>
      </c>
      <c r="CF469" s="1062"/>
      <c r="CG469" s="208">
        <f>CC469/(AVERAGE(BY469,BY470)*AVERAGE((D$458,D$456,D$437,D$451,D$443,D$444,D$449,D$465,D$436,D$463))*0.01)</f>
        <v>412.78545673076923</v>
      </c>
      <c r="CH469" s="855">
        <f t="shared" si="591"/>
        <v>0.57546497989276135</v>
      </c>
      <c r="CI469" s="1060"/>
      <c r="CJ469" s="1060"/>
      <c r="CK469" s="1060"/>
      <c r="CL469" s="1060"/>
      <c r="CM469" s="1060"/>
      <c r="CN469" s="110"/>
    </row>
    <row r="470" spans="1:92" s="337" customFormat="1">
      <c r="A470" s="1036">
        <f t="shared" si="716"/>
        <v>41625</v>
      </c>
      <c r="B470" s="1037">
        <v>0.33333333333333398</v>
      </c>
      <c r="C470" s="847">
        <f t="shared" si="712"/>
        <v>24</v>
      </c>
      <c r="D470" s="1064">
        <v>2.4900000000000002</v>
      </c>
      <c r="E470" s="1064">
        <v>77.400000000000006</v>
      </c>
      <c r="F470" s="539"/>
      <c r="G470" s="539"/>
      <c r="H470" s="539"/>
      <c r="I470" s="539"/>
      <c r="J470" s="539"/>
      <c r="K470" s="539"/>
      <c r="L470" s="539"/>
      <c r="M470" s="539">
        <v>60</v>
      </c>
      <c r="N470" s="539">
        <v>85</v>
      </c>
      <c r="O470" s="539"/>
      <c r="P470" s="539"/>
      <c r="Q470" s="539"/>
      <c r="R470" s="539"/>
      <c r="S470" s="539"/>
      <c r="T470" s="539"/>
      <c r="U470" s="539"/>
      <c r="V470" s="1064">
        <v>2.16</v>
      </c>
      <c r="W470" s="1064">
        <v>66.16</v>
      </c>
      <c r="X470" s="539"/>
      <c r="Y470" s="539"/>
      <c r="Z470" s="539"/>
      <c r="AA470" s="539"/>
      <c r="AB470" s="539"/>
      <c r="AC470" s="539"/>
      <c r="AD470" s="1021">
        <f>D465*(100-E465)/(100-W470)</f>
        <v>1.7234042553191484</v>
      </c>
      <c r="AE470" s="1055">
        <f>D465-V470</f>
        <v>0.54</v>
      </c>
      <c r="AF470" s="847">
        <f>100*(AVERAGE(D$458,D$456,D$437,D$451,D$443,D$444,D$449,D$465,D$470,D$463)-V470)/AVERAGE(D$458,D$456,D$437,D$451,D$443,D$444,D$449,D$465,D$470,D$463)</f>
        <v>32.521087160262404</v>
      </c>
      <c r="AG470" s="847">
        <f>100*(1-((100-AVERAGE(E$458,E$456,E$437,E$451,E$443,E$444,E$449,E$465,E$470,E$463))/(100-W470)))</f>
        <v>32.712765957446791</v>
      </c>
      <c r="AH470" s="1055">
        <f>E465-W470</f>
        <v>12.240000000000009</v>
      </c>
      <c r="AI470" s="847">
        <f>100*(1-((V470*W470)/(AVERAGE(D$458,D$456,D$437,D$451,D$443,D$444,D$449,D$465,D$470,D$463)*AVERAGE(E$458,E$456,E$437,E$451,E$443,E$444,E$449,E$465,E$470,E$463))))</f>
        <v>42.193385038494888</v>
      </c>
      <c r="AJ470" s="847">
        <f>100*100*((AVERAGE(E$458,E$456,E$437,E$451,E$443,E$444,E$449,E$465,E$470,E$463)-W470)/((100-W470)*AVERAGE(E$458,E$456,E$437,E$451,E$443,E$444,E$449,E$465,E$470,E$463)))</f>
        <v>42.357588964711624</v>
      </c>
      <c r="AK470" s="539"/>
      <c r="AL470" s="539">
        <v>35.299999999999997</v>
      </c>
      <c r="AM470" s="1072">
        <v>1455</v>
      </c>
      <c r="AN470" s="334">
        <f t="shared" si="717"/>
        <v>56.160000000000004</v>
      </c>
      <c r="AO470" s="334">
        <f t="shared" si="718"/>
        <v>25.160256410256409</v>
      </c>
      <c r="AP470" s="1072">
        <v>706</v>
      </c>
      <c r="AQ470" s="348">
        <f t="shared" si="619"/>
        <v>42061.771875000006</v>
      </c>
      <c r="AR470" s="348">
        <f t="shared" si="719"/>
        <v>905.203125</v>
      </c>
      <c r="AS470" s="512">
        <f t="shared" si="720"/>
        <v>37.716796875</v>
      </c>
      <c r="AT470" s="334">
        <f>AR470/(AVERAGE(AN470,AN471)*(AVERAGE(D$458,D$456,D$437,D$451,D$443,D$444,D$449,D$465,D$470,D$463))*AVERAGE(E$458,E$456,E$437,E$451,E$443,E$444,E$449,E$465,E$470,E$463)*0.0001)</f>
        <v>627.85133248814202</v>
      </c>
      <c r="AU470" s="334">
        <f>(AQ470-AQ464)/(AVERAGE(AN464:AN470)*((AVERAGE(D$458,D$456,D$437,D$451,D$443,D$444,D$449,D$465,D$470,D$463)*AVERAGE(E$458,E$456,E$437,E$451,E$443,E$444,E$449,E$465,E$470,E$463))-(V470*W470))*0.0001*(SUM(C464:C470)/24))</f>
        <v>1219.8920877624505</v>
      </c>
      <c r="AV470" s="512">
        <f>AR470/(AVERAGE(AN471,AN470)*AVERAGE(D$458,D$456,D$437,D$451,D$443,D$444,D$449,D$465,D$470,D$463)*0.01)</f>
        <v>484.8895840805921</v>
      </c>
      <c r="AW470" s="848">
        <f t="shared" si="686"/>
        <v>0.640625</v>
      </c>
      <c r="AX470" s="539"/>
      <c r="AY470" s="539"/>
      <c r="AZ470" s="539"/>
      <c r="BA470" s="539"/>
      <c r="BB470" s="539"/>
      <c r="BC470" s="539"/>
      <c r="BD470" s="539"/>
      <c r="BE470" s="539"/>
      <c r="BF470" s="539"/>
      <c r="BG470" s="1064">
        <v>2.1800000000000002</v>
      </c>
      <c r="BH470" s="1064">
        <v>64.94</v>
      </c>
      <c r="BI470" s="539"/>
      <c r="BJ470" s="539"/>
      <c r="BK470" s="539"/>
      <c r="BL470" s="539"/>
      <c r="BM470" s="539"/>
      <c r="BN470" s="539"/>
      <c r="BO470" s="847">
        <f>D465*(100-E465)/(100-BH470)</f>
        <v>1.6634341129492294</v>
      </c>
      <c r="BP470" s="1055">
        <f>D465-BG470</f>
        <v>0.52</v>
      </c>
      <c r="BQ470" s="1056">
        <f>100*(AVERAGE(D$458,D$456,D$437,D$451,D$443,D$444,D$449,D$465,D$470,D$463)-BG470)/AVERAGE(D$458,D$456,D$437,D$451,D$443,D$444,D$449,D$465,D$470,D$463)</f>
        <v>31.896282411746316</v>
      </c>
      <c r="BR470" s="1056">
        <f>100*(1-((100-AVERAGE(E$458,E$456,E$437,E$451,E$443,E$444,E$449,E$465,E$470,E$463))/(100-BH470)))</f>
        <v>35.054192812321702</v>
      </c>
      <c r="BS470" s="1055">
        <f>E465-BH470</f>
        <v>13.460000000000008</v>
      </c>
      <c r="BT470" s="1055">
        <f>100*(1-((BG470*BH470)/(AVERAGE(D$458,D$456,D$437,D$451,D$443,D$444,D$449,D$465,D$470,D$463)*AVERAGE(E$458,E$456,E$437,E$451,E$443,E$444,E$449,E$465,E$470,E$463))))</f>
        <v>42.733970993380879</v>
      </c>
      <c r="BU470" s="847">
        <f>100*100*((AVERAGE(E$458,E$456,E$437,E$451,E$443,E$444,E$449,E$465,E$470,E$463)-BH470)/((100-BH470)*AVERAGE(E$458,E$456,E$437,E$451,E$443,E$444,E$449,E$465,E$470,E$463)))</f>
        <v>45.389347160846455</v>
      </c>
      <c r="BV470" s="539"/>
      <c r="BW470" s="539">
        <v>50.6</v>
      </c>
      <c r="BX470" s="539">
        <v>856</v>
      </c>
      <c r="BY470" s="1056">
        <f t="shared" si="721"/>
        <v>40</v>
      </c>
      <c r="BZ470" s="1056">
        <f t="shared" si="722"/>
        <v>18.649999999999999</v>
      </c>
      <c r="CA470" s="539">
        <v>406</v>
      </c>
      <c r="CB470" s="1067">
        <f t="shared" si="667"/>
        <v>44233.768750000003</v>
      </c>
      <c r="CC470" s="334">
        <f t="shared" si="723"/>
        <v>551.953125</v>
      </c>
      <c r="CD470" s="334">
        <f t="shared" si="724"/>
        <v>22.998046875</v>
      </c>
      <c r="CE470" s="512">
        <f>CC470/(AVERAGE(BY471,BY470)*(AVERAGE(D$458,D$456,D$437,D$451,D$443,D$444,D$449,D$465,D$470,D$463))*AVERAGE(E$458,E$456,E$437,E$451,E$443,E$444,E$449,E$465,E$470,E$463)*0.0001)</f>
        <v>744.23353070545636</v>
      </c>
      <c r="CF470" s="334">
        <f>(CB470-CB464)/(AVERAGE(BY464:BY470)*((AVERAGE(D$458,D$456,D$437,D$451,D$443,D$444,D$449,D$465,D$470,D$463)*AVERAGE(E$458,E$456,E$437,E$451,E$443,E$444,E$449,E$465,E$470,E$463))-(BG470*BH470))*0.0001*(SUM(C464:C470)/24))</f>
        <v>1232.9558497414491</v>
      </c>
      <c r="CG470" s="334">
        <f>CC470/(AVERAGE(BY470,BY471)*AVERAGE((D$458,D$456,D$437,D$451,D$443,D$444,D$449,D$465,D$470,D$463))*0.01)</f>
        <v>574.77155576382381</v>
      </c>
      <c r="CH470" s="848">
        <f t="shared" ref="CH470:CH504" si="725">CC470/CB$3</f>
        <v>0.73988354557640745</v>
      </c>
      <c r="CI470" s="539"/>
      <c r="CJ470" s="539"/>
      <c r="CK470" s="539"/>
      <c r="CL470" s="539"/>
      <c r="CM470" s="539"/>
      <c r="CN470" s="442"/>
    </row>
    <row r="471" spans="1:92">
      <c r="A471" s="1034">
        <f t="shared" si="716"/>
        <v>41626</v>
      </c>
      <c r="B471" s="1035">
        <v>0.33333333333333398</v>
      </c>
      <c r="C471" s="854">
        <f t="shared" si="712"/>
        <v>24</v>
      </c>
      <c r="D471" s="1044"/>
      <c r="E471" s="1044"/>
      <c r="F471" s="1044"/>
      <c r="G471" s="1044"/>
      <c r="H471" s="1044"/>
      <c r="I471" s="1044"/>
      <c r="J471" s="1044"/>
      <c r="K471" s="1044"/>
      <c r="L471" s="1044"/>
      <c r="M471" s="1044"/>
      <c r="N471" s="1044"/>
      <c r="O471" s="1044"/>
      <c r="P471" s="1044"/>
      <c r="Q471" s="1044"/>
      <c r="R471" s="1044"/>
      <c r="S471" s="1044"/>
      <c r="T471" s="1044"/>
      <c r="U471" s="1044"/>
      <c r="V471" s="1044"/>
      <c r="W471" s="1044"/>
      <c r="X471" s="1044"/>
      <c r="Y471" s="1044"/>
      <c r="Z471" s="1044"/>
      <c r="AA471" s="1044"/>
      <c r="AB471" s="1044"/>
      <c r="AC471" s="1044"/>
      <c r="AD471" s="1044"/>
      <c r="AE471" s="1044"/>
      <c r="AF471" s="1044"/>
      <c r="AG471" s="1044"/>
      <c r="AH471" s="1044"/>
      <c r="AI471" s="1044"/>
      <c r="AJ471" s="1044"/>
      <c r="AK471" s="1044"/>
      <c r="AL471" s="1044">
        <v>35.1</v>
      </c>
      <c r="AM471" s="1068">
        <v>1483</v>
      </c>
      <c r="AN471" s="208">
        <f t="shared" si="717"/>
        <v>60.480000000000004</v>
      </c>
      <c r="AO471" s="208">
        <f t="shared" si="718"/>
        <v>23.363095238095237</v>
      </c>
      <c r="AP471" s="1068">
        <v>720</v>
      </c>
      <c r="AQ471" s="76">
        <f t="shared" si="619"/>
        <v>42906.628125000003</v>
      </c>
      <c r="AR471" s="76">
        <f t="shared" si="719"/>
        <v>844.85624999999709</v>
      </c>
      <c r="AS471" s="230">
        <f t="shared" si="720"/>
        <v>35.202343749999876</v>
      </c>
      <c r="AT471" s="208">
        <f t="shared" ref="AT471:AT485" si="726">AR471/(AVERAGE(AN471,AN472)*(AVERAGE(D$458,D$456,D$437,D$451,D$443,D$444,D$449,D$465,D$470,D$463))*AVERAGE(E$458,E$456,E$437,E$451,E$443,E$444,E$449,E$465,E$470,E$463)*0.0001)</f>
        <v>555.15275714740801</v>
      </c>
      <c r="AU471" s="1058"/>
      <c r="AV471" s="230">
        <f t="shared" ref="AV471:AV485" si="727">AR471/(AVERAGE(AN472,AN471)*AVERAGE(D$458,D$456,D$437,D$451,D$443,D$444,D$449,D$465,D$470,D$463)*0.01)</f>
        <v>428.74447434494317</v>
      </c>
      <c r="AW471" s="855">
        <f t="shared" si="686"/>
        <v>0.59791666666666465</v>
      </c>
      <c r="AX471" s="1044"/>
      <c r="AY471" s="1044"/>
      <c r="AZ471" s="1044"/>
      <c r="BA471" s="1044"/>
      <c r="BB471" s="1044"/>
      <c r="BC471" s="1044" t="s">
        <v>174</v>
      </c>
      <c r="BD471" s="1044"/>
      <c r="BE471" s="1044"/>
      <c r="BF471" s="1044"/>
      <c r="BG471" s="1044"/>
      <c r="BH471" s="1044"/>
      <c r="BI471" s="1044"/>
      <c r="BJ471" s="1044"/>
      <c r="BK471" s="1044"/>
      <c r="BL471" s="1044"/>
      <c r="BM471" s="1044"/>
      <c r="BN471" s="1044"/>
      <c r="BO471" s="1044"/>
      <c r="BP471" s="1044"/>
      <c r="BQ471" s="1044"/>
      <c r="BR471" s="1044"/>
      <c r="BS471" s="1044"/>
      <c r="BT471" s="1044"/>
      <c r="BU471" s="1044"/>
      <c r="BV471" s="1044"/>
      <c r="BW471" s="1044">
        <v>50.5</v>
      </c>
      <c r="BX471" s="1044">
        <v>866</v>
      </c>
      <c r="BY471" s="1054">
        <f t="shared" si="721"/>
        <v>20</v>
      </c>
      <c r="BZ471" s="1054">
        <f t="shared" si="722"/>
        <v>37.299999999999997</v>
      </c>
      <c r="CA471" s="1044">
        <v>413</v>
      </c>
      <c r="CB471" s="1047">
        <f t="shared" si="667"/>
        <v>44663.065625000003</v>
      </c>
      <c r="CC471" s="208">
        <f t="shared" si="723"/>
        <v>429.296875</v>
      </c>
      <c r="CD471" s="208">
        <f t="shared" si="724"/>
        <v>17.887369791666668</v>
      </c>
      <c r="CE471" s="230">
        <f t="shared" ref="CE471:CE485" si="728">CC471/(AVERAGE(BY472,BY471)*(AVERAGE(D$458,D$456,D$437,D$451,D$443,D$444,D$449,D$465,D$470,D$463))*AVERAGE(E$458,E$456,E$437,E$451,E$443,E$444,E$449,E$465,E$470,E$463)*0.0001)</f>
        <v>542.670282806062</v>
      </c>
      <c r="CF471" s="1058"/>
      <c r="CG471" s="208">
        <f>CC471/(AVERAGE(BY471,BY472)*AVERAGE((D$458,D$456,D$437,D$451,D$443,D$444,D$449,D$465,D$470,D$463))*0.01)</f>
        <v>419.10425941112157</v>
      </c>
      <c r="CH471" s="855">
        <f t="shared" si="725"/>
        <v>0.57546497989276135</v>
      </c>
      <c r="CI471" s="1044"/>
      <c r="CJ471" s="1044"/>
      <c r="CK471" s="1044"/>
      <c r="CL471" s="1044"/>
      <c r="CM471" s="1044"/>
      <c r="CN471" s="1044" t="s">
        <v>174</v>
      </c>
    </row>
    <row r="472" spans="1:92">
      <c r="A472" s="1034">
        <f t="shared" si="716"/>
        <v>41627</v>
      </c>
      <c r="B472" s="1035">
        <v>0.33333333333333398</v>
      </c>
      <c r="C472" s="854">
        <f t="shared" si="712"/>
        <v>24</v>
      </c>
      <c r="D472" s="1044"/>
      <c r="E472" s="1044"/>
      <c r="F472" s="1044"/>
      <c r="G472" s="1044"/>
      <c r="H472" s="1044"/>
      <c r="I472" s="1044"/>
      <c r="J472" s="1044"/>
      <c r="K472" s="1044"/>
      <c r="L472" s="1044"/>
      <c r="M472" s="1044">
        <v>45</v>
      </c>
      <c r="N472" s="1044">
        <v>80</v>
      </c>
      <c r="O472" s="1044"/>
      <c r="P472" s="1044"/>
      <c r="Q472" s="1044"/>
      <c r="R472" s="1044"/>
      <c r="S472" s="1044"/>
      <c r="T472" s="1044"/>
      <c r="U472" s="1044"/>
      <c r="V472" s="1044"/>
      <c r="W472" s="1044"/>
      <c r="X472" s="1044"/>
      <c r="Y472" s="1044"/>
      <c r="Z472" s="1044"/>
      <c r="AA472" s="1044"/>
      <c r="AB472" s="1044"/>
      <c r="AC472" s="1044"/>
      <c r="AD472" s="1044"/>
      <c r="AE472" s="1044"/>
      <c r="AF472" s="1044"/>
      <c r="AG472" s="1044"/>
      <c r="AH472" s="1044"/>
      <c r="AI472" s="1044"/>
      <c r="AJ472" s="1044"/>
      <c r="AK472" s="1044"/>
      <c r="AL472" s="1044">
        <v>35.4</v>
      </c>
      <c r="AM472" s="1068">
        <v>1512</v>
      </c>
      <c r="AN472" s="208">
        <f t="shared" si="717"/>
        <v>62.64</v>
      </c>
      <c r="AO472" s="208">
        <f t="shared" si="718"/>
        <v>22.557471264367816</v>
      </c>
      <c r="AP472" s="1068">
        <v>733</v>
      </c>
      <c r="AQ472" s="76">
        <f t="shared" si="619"/>
        <v>43691.137500000004</v>
      </c>
      <c r="AR472" s="76">
        <f t="shared" si="719"/>
        <v>784.50937500000146</v>
      </c>
      <c r="AS472" s="230">
        <f t="shared" si="720"/>
        <v>32.687890625000058</v>
      </c>
      <c r="AT472" s="208">
        <f t="shared" si="726"/>
        <v>515.49898877973874</v>
      </c>
      <c r="AU472" s="1058"/>
      <c r="AV472" s="230">
        <f t="shared" si="727"/>
        <v>398.11986903459217</v>
      </c>
      <c r="AW472" s="855">
        <f t="shared" si="686"/>
        <v>0.55520833333333441</v>
      </c>
      <c r="AX472" s="1044"/>
      <c r="AY472" s="1044"/>
      <c r="AZ472" s="1044"/>
      <c r="BA472" s="1044"/>
      <c r="BB472" s="1044"/>
      <c r="BC472" s="1044"/>
      <c r="BD472" s="1044"/>
      <c r="BE472" s="1044"/>
      <c r="BF472" s="1044"/>
      <c r="BG472" s="1044"/>
      <c r="BH472" s="1044"/>
      <c r="BI472" s="1044"/>
      <c r="BJ472" s="1044"/>
      <c r="BK472" s="1044"/>
      <c r="BL472" s="1044"/>
      <c r="BM472" s="1044"/>
      <c r="BN472" s="1044"/>
      <c r="BO472" s="1044"/>
      <c r="BP472" s="1044"/>
      <c r="BQ472" s="1044"/>
      <c r="BR472" s="1044"/>
      <c r="BS472" s="1044"/>
      <c r="BT472" s="1044"/>
      <c r="BU472" s="1044"/>
      <c r="BV472" s="1044"/>
      <c r="BW472" s="1044">
        <v>50.5</v>
      </c>
      <c r="BX472" s="1044">
        <v>888</v>
      </c>
      <c r="BY472" s="1054">
        <f t="shared" si="721"/>
        <v>44</v>
      </c>
      <c r="BZ472" s="1054">
        <f t="shared" si="722"/>
        <v>16.954545454545453</v>
      </c>
      <c r="CA472" s="1044">
        <v>420</v>
      </c>
      <c r="CB472" s="1047">
        <f t="shared" si="667"/>
        <v>45092.362500000003</v>
      </c>
      <c r="CC472" s="208">
        <f t="shared" si="723"/>
        <v>429.296875</v>
      </c>
      <c r="CD472" s="208">
        <f t="shared" si="724"/>
        <v>17.887369791666668</v>
      </c>
      <c r="CE472" s="230">
        <f t="shared" si="728"/>
        <v>445.2679243536918</v>
      </c>
      <c r="CF472" s="1058"/>
      <c r="CG472" s="208">
        <f>CC472/(AVERAGE(BY472,BY473)*AVERAGE((D$458,D$456,D$437,D$451,D$443,D$444,D$449,D$465,D$470,D$463))*0.01)</f>
        <v>343.88041797835615</v>
      </c>
      <c r="CH472" s="855">
        <f t="shared" si="725"/>
        <v>0.57546497989276135</v>
      </c>
      <c r="CI472" s="1044"/>
      <c r="CJ472" s="1044"/>
      <c r="CK472" s="1044"/>
      <c r="CL472" s="1044"/>
      <c r="CM472" s="1044"/>
      <c r="CN472" s="1044"/>
    </row>
    <row r="473" spans="1:92">
      <c r="A473" s="1034">
        <f t="shared" si="716"/>
        <v>41628</v>
      </c>
      <c r="B473" s="1035">
        <v>0.33333333333333398</v>
      </c>
      <c r="C473" s="854">
        <f t="shared" si="712"/>
        <v>24</v>
      </c>
      <c r="D473" s="1044"/>
      <c r="E473" s="1044"/>
      <c r="F473" s="1044"/>
      <c r="G473" s="1044"/>
      <c r="H473" s="1044"/>
      <c r="I473" s="1044"/>
      <c r="J473" s="1044"/>
      <c r="K473" s="1044"/>
      <c r="L473" s="1044"/>
      <c r="M473" s="1044"/>
      <c r="N473" s="1044"/>
      <c r="O473" s="1044"/>
      <c r="P473" s="1044"/>
      <c r="Q473" s="1044"/>
      <c r="R473" s="1044"/>
      <c r="S473" s="1044"/>
      <c r="T473" s="1044"/>
      <c r="U473" s="1044"/>
      <c r="V473" s="1044"/>
      <c r="W473" s="1044"/>
      <c r="X473" s="1044"/>
      <c r="Y473" s="1044"/>
      <c r="Z473" s="1044"/>
      <c r="AA473" s="1044"/>
      <c r="AB473" s="1044"/>
      <c r="AC473" s="1044"/>
      <c r="AD473" s="1044"/>
      <c r="AE473" s="1044"/>
      <c r="AF473" s="1044"/>
      <c r="AG473" s="1044"/>
      <c r="AH473" s="1044"/>
      <c r="AI473" s="1044"/>
      <c r="AJ473" s="1044"/>
      <c r="AK473" s="1044"/>
      <c r="AL473" s="1044">
        <v>35.299999999999997</v>
      </c>
      <c r="AM473" s="1068">
        <v>1540</v>
      </c>
      <c r="AN473" s="208">
        <f t="shared" si="717"/>
        <v>60.480000000000004</v>
      </c>
      <c r="AO473" s="208">
        <f t="shared" si="718"/>
        <v>23.363095238095237</v>
      </c>
      <c r="AP473" s="1068">
        <v>746</v>
      </c>
      <c r="AQ473" s="76">
        <f t="shared" si="619"/>
        <v>44475.646875000006</v>
      </c>
      <c r="AR473" s="76">
        <f t="shared" si="719"/>
        <v>784.50937500000146</v>
      </c>
      <c r="AS473" s="230">
        <f t="shared" si="720"/>
        <v>32.687890625000058</v>
      </c>
      <c r="AT473" s="208">
        <f t="shared" si="726"/>
        <v>534.24440655354738</v>
      </c>
      <c r="AU473" s="1058"/>
      <c r="AV473" s="230">
        <f t="shared" si="727"/>
        <v>412.59695518130457</v>
      </c>
      <c r="AW473" s="855">
        <f t="shared" si="686"/>
        <v>0.55520833333333441</v>
      </c>
      <c r="AX473" s="1044"/>
      <c r="AY473" s="1044"/>
      <c r="AZ473" s="1044"/>
      <c r="BA473" s="1044"/>
      <c r="BB473" s="1044"/>
      <c r="BC473" s="1044"/>
      <c r="BD473" s="1044"/>
      <c r="BE473" s="1044"/>
      <c r="BF473" s="1044"/>
      <c r="BG473" s="1044"/>
      <c r="BH473" s="1044"/>
      <c r="BI473" s="1044"/>
      <c r="BJ473" s="1044"/>
      <c r="BK473" s="1044"/>
      <c r="BL473" s="1044"/>
      <c r="BM473" s="1044"/>
      <c r="BN473" s="1044"/>
      <c r="BO473" s="1044"/>
      <c r="BP473" s="1044"/>
      <c r="BQ473" s="1044"/>
      <c r="BR473" s="1044"/>
      <c r="BS473" s="1044"/>
      <c r="BT473" s="1044"/>
      <c r="BU473" s="1044"/>
      <c r="BV473" s="1044"/>
      <c r="BW473" s="1044">
        <v>50.6</v>
      </c>
      <c r="BX473" s="1044">
        <v>905</v>
      </c>
      <c r="BY473" s="1054">
        <f t="shared" si="721"/>
        <v>34</v>
      </c>
      <c r="BZ473" s="1054">
        <f t="shared" si="722"/>
        <v>21.941176470588236</v>
      </c>
      <c r="CA473" s="1044">
        <v>426</v>
      </c>
      <c r="CB473" s="1047">
        <f t="shared" si="667"/>
        <v>45460.331250000003</v>
      </c>
      <c r="CC473" s="208">
        <f t="shared" si="723"/>
        <v>367.96875</v>
      </c>
      <c r="CD473" s="208">
        <f t="shared" si="724"/>
        <v>15.33203125</v>
      </c>
      <c r="CE473" s="230">
        <f t="shared" si="728"/>
        <v>451.0506246699735</v>
      </c>
      <c r="CF473" s="1058"/>
      <c r="CG473" s="208">
        <f>CC473/(AVERAGE(BY473,BY474)*AVERAGE((D$458,D$456,D$437,D$451,D$443,D$444,D$449,D$465,D$470,D$463))*0.01)</f>
        <v>348.34639743262056</v>
      </c>
      <c r="CH473" s="855">
        <f t="shared" si="725"/>
        <v>0.49325569705093836</v>
      </c>
      <c r="CI473" s="1044"/>
      <c r="CJ473" s="1044"/>
      <c r="CK473" s="1044"/>
      <c r="CL473" s="1044"/>
      <c r="CM473" s="1044"/>
      <c r="CN473" s="1044"/>
    </row>
    <row r="474" spans="1:92">
      <c r="A474" s="1034">
        <f t="shared" si="716"/>
        <v>41629</v>
      </c>
      <c r="B474" s="1035">
        <v>0.33333333333333398</v>
      </c>
      <c r="C474" s="854">
        <f t="shared" si="712"/>
        <v>24</v>
      </c>
      <c r="D474" s="1044"/>
      <c r="E474" s="1044"/>
      <c r="F474" s="1044"/>
      <c r="G474" s="1044"/>
      <c r="H474" s="1044"/>
      <c r="I474" s="1044"/>
      <c r="J474" s="1044"/>
      <c r="K474" s="1044"/>
      <c r="L474" s="1044"/>
      <c r="M474" s="1044">
        <v>55</v>
      </c>
      <c r="N474" s="1044">
        <v>85</v>
      </c>
      <c r="O474" s="1044"/>
      <c r="P474" s="1044"/>
      <c r="Q474" s="1044"/>
      <c r="R474" s="1044"/>
      <c r="S474" s="1044"/>
      <c r="T474" s="1044"/>
      <c r="U474" s="1044"/>
      <c r="V474" s="1044"/>
      <c r="W474" s="1044"/>
      <c r="X474" s="1044"/>
      <c r="Y474" s="1044"/>
      <c r="Z474" s="1044"/>
      <c r="AA474" s="1044"/>
      <c r="AB474" s="1044"/>
      <c r="AC474" s="1044"/>
      <c r="AD474" s="1044"/>
      <c r="AE474" s="1044"/>
      <c r="AF474" s="1044"/>
      <c r="AG474" s="1044"/>
      <c r="AH474" s="1044"/>
      <c r="AI474" s="1044"/>
      <c r="AJ474" s="1044"/>
      <c r="AK474" s="1044"/>
      <c r="AL474" s="1044">
        <v>35.200000000000003</v>
      </c>
      <c r="AM474" s="1068">
        <v>1567</v>
      </c>
      <c r="AN474" s="208">
        <f t="shared" si="717"/>
        <v>58.320000000000007</v>
      </c>
      <c r="AO474" s="208">
        <f t="shared" si="718"/>
        <v>24.228395061728392</v>
      </c>
      <c r="AP474" s="1068">
        <v>760</v>
      </c>
      <c r="AQ474" s="76">
        <f t="shared" si="619"/>
        <v>45320.503125000003</v>
      </c>
      <c r="AR474" s="76">
        <f t="shared" si="719"/>
        <v>844.85624999999709</v>
      </c>
      <c r="AS474" s="230">
        <f t="shared" si="720"/>
        <v>35.202343749999876</v>
      </c>
      <c r="AT474" s="208">
        <f t="shared" si="726"/>
        <v>575.34013013458639</v>
      </c>
      <c r="AU474" s="1058"/>
      <c r="AV474" s="230">
        <f t="shared" si="727"/>
        <v>444.33518250294105</v>
      </c>
      <c r="AW474" s="855">
        <f t="shared" si="686"/>
        <v>0.59791666666666465</v>
      </c>
      <c r="AX474" s="1044"/>
      <c r="AY474" s="1044"/>
      <c r="AZ474" s="1044"/>
      <c r="BA474" s="1044"/>
      <c r="BB474" s="1044"/>
      <c r="BC474" s="1044"/>
      <c r="BD474" s="1044"/>
      <c r="BE474" s="1044"/>
      <c r="BF474" s="1044"/>
      <c r="BG474" s="1044"/>
      <c r="BH474" s="1044"/>
      <c r="BI474" s="1044"/>
      <c r="BJ474" s="1044"/>
      <c r="BK474" s="1044"/>
      <c r="BL474" s="1044"/>
      <c r="BM474" s="1044"/>
      <c r="BN474" s="1044"/>
      <c r="BO474" s="1044"/>
      <c r="BP474" s="1044"/>
      <c r="BQ474" s="1044"/>
      <c r="BR474" s="1044"/>
      <c r="BS474" s="1044"/>
      <c r="BT474" s="1044"/>
      <c r="BU474" s="1044"/>
      <c r="BV474" s="1044"/>
      <c r="BW474" s="1044">
        <v>50.6</v>
      </c>
      <c r="BX474" s="1044">
        <v>921</v>
      </c>
      <c r="BY474" s="1054">
        <f t="shared" si="721"/>
        <v>32</v>
      </c>
      <c r="BZ474" s="1054">
        <f t="shared" si="722"/>
        <v>23.3125</v>
      </c>
      <c r="CA474" s="1044">
        <v>434</v>
      </c>
      <c r="CB474" s="1047">
        <f t="shared" si="667"/>
        <v>45950.956250000003</v>
      </c>
      <c r="CC474" s="208">
        <f t="shared" si="723"/>
        <v>490.625</v>
      </c>
      <c r="CD474" s="208">
        <f t="shared" si="724"/>
        <v>20.442708333333332</v>
      </c>
      <c r="CE474" s="230">
        <f t="shared" si="728"/>
        <v>902.101249339947</v>
      </c>
      <c r="CF474" s="1058"/>
      <c r="CG474" s="208">
        <f>CC474/(AVERAGE(BY474,BY475)*AVERAGE((D$458,D$456,D$437,D$451,D$443,D$444,D$449,D$465,D$470,D$463))*0.01)</f>
        <v>696.69279486524101</v>
      </c>
      <c r="CH474" s="855">
        <f t="shared" si="725"/>
        <v>0.6576742627345844</v>
      </c>
      <c r="CI474" s="1044"/>
      <c r="CJ474" s="1044"/>
      <c r="CK474" s="1044"/>
      <c r="CL474" s="1044"/>
      <c r="CM474" s="1044"/>
      <c r="CN474" s="1044"/>
    </row>
    <row r="475" spans="1:92">
      <c r="A475" s="1034">
        <f t="shared" si="716"/>
        <v>41630</v>
      </c>
      <c r="B475" s="1035">
        <v>0.33333333333333398</v>
      </c>
      <c r="C475" s="854">
        <f t="shared" si="712"/>
        <v>24</v>
      </c>
      <c r="D475" s="1044"/>
      <c r="E475" s="1044"/>
      <c r="F475" s="1044"/>
      <c r="G475" s="1044"/>
      <c r="H475" s="1044"/>
      <c r="I475" s="1044"/>
      <c r="J475" s="1044"/>
      <c r="K475" s="1044"/>
      <c r="L475" s="1044"/>
      <c r="M475" s="1044"/>
      <c r="N475" s="1044"/>
      <c r="O475" s="1044"/>
      <c r="P475" s="1044"/>
      <c r="Q475" s="1044"/>
      <c r="R475" s="1044"/>
      <c r="S475" s="1044"/>
      <c r="T475" s="1044"/>
      <c r="U475" s="1044"/>
      <c r="V475" s="1044"/>
      <c r="W475" s="1044"/>
      <c r="X475" s="1044"/>
      <c r="Y475" s="1044"/>
      <c r="Z475" s="1044"/>
      <c r="AA475" s="1044"/>
      <c r="AB475" s="1044"/>
      <c r="AC475" s="1044"/>
      <c r="AD475" s="1044"/>
      <c r="AE475" s="1044"/>
      <c r="AF475" s="1044"/>
      <c r="AG475" s="1044"/>
      <c r="AH475" s="1044"/>
      <c r="AI475" s="1044"/>
      <c r="AJ475" s="1044"/>
      <c r="AK475" s="1044"/>
      <c r="AL475" s="1044">
        <v>35.200000000000003</v>
      </c>
      <c r="AM475" s="1068">
        <v>1595</v>
      </c>
      <c r="AN475" s="208">
        <f t="shared" si="717"/>
        <v>60.480000000000004</v>
      </c>
      <c r="AO475" s="208">
        <f t="shared" si="718"/>
        <v>23.363095238095237</v>
      </c>
      <c r="AP475" s="1068">
        <v>775</v>
      </c>
      <c r="AQ475" s="76">
        <f t="shared" si="619"/>
        <v>46225.706250000003</v>
      </c>
      <c r="AR475" s="76">
        <f t="shared" si="719"/>
        <v>905.203125</v>
      </c>
      <c r="AS475" s="230">
        <f t="shared" si="720"/>
        <v>37.716796875</v>
      </c>
      <c r="AT475" s="208">
        <f t="shared" si="726"/>
        <v>616.4358537156304</v>
      </c>
      <c r="AU475" s="1058"/>
      <c r="AV475" s="230">
        <f t="shared" si="727"/>
        <v>476.07340982458135</v>
      </c>
      <c r="AW475" s="855">
        <f t="shared" si="686"/>
        <v>0.640625</v>
      </c>
      <c r="AX475" s="1044"/>
      <c r="AY475" s="1044"/>
      <c r="AZ475" s="1044"/>
      <c r="BA475" s="1044"/>
      <c r="BB475" s="1044"/>
      <c r="BC475" s="1044" t="s">
        <v>175</v>
      </c>
      <c r="BD475" s="1044"/>
      <c r="BE475" s="1044"/>
      <c r="BF475" s="1044"/>
      <c r="BG475" s="1044"/>
      <c r="BH475" s="1044"/>
      <c r="BI475" s="1044"/>
      <c r="BJ475" s="1044"/>
      <c r="BK475" s="1044"/>
      <c r="BL475" s="1044"/>
      <c r="BM475" s="1044"/>
      <c r="BN475" s="1044"/>
      <c r="BO475" s="1044"/>
      <c r="BP475" s="1044"/>
      <c r="BQ475" s="1044"/>
      <c r="BR475" s="1044"/>
      <c r="BS475" s="1044"/>
      <c r="BT475" s="1044"/>
      <c r="BU475" s="1044"/>
      <c r="BV475" s="1044"/>
      <c r="BW475" s="1044">
        <v>50.5</v>
      </c>
      <c r="BX475" s="1044">
        <v>927</v>
      </c>
      <c r="BY475" s="1054">
        <f t="shared" si="721"/>
        <v>12</v>
      </c>
      <c r="BZ475" s="1054">
        <f t="shared" si="722"/>
        <v>62.166666666666664</v>
      </c>
      <c r="CA475" s="1044">
        <v>442</v>
      </c>
      <c r="CB475" s="1047">
        <f t="shared" si="667"/>
        <v>46441.581250000003</v>
      </c>
      <c r="CC475" s="208">
        <f t="shared" si="723"/>
        <v>490.625</v>
      </c>
      <c r="CD475" s="208">
        <f t="shared" si="724"/>
        <v>20.442708333333332</v>
      </c>
      <c r="CE475" s="230">
        <f t="shared" si="728"/>
        <v>620.19460892121367</v>
      </c>
      <c r="CF475" s="1058"/>
      <c r="CG475" s="208">
        <f>CC475/(AVERAGE(BY475,BY476)*AVERAGE((D$458,D$456,D$437,D$451,D$443,D$444,D$449,D$465,D$470,D$463))*0.01)</f>
        <v>478.9762964698532</v>
      </c>
      <c r="CH475" s="855">
        <f t="shared" si="725"/>
        <v>0.6576742627345844</v>
      </c>
      <c r="CI475" s="1044"/>
      <c r="CJ475" s="1044"/>
      <c r="CK475" s="1044"/>
      <c r="CL475" s="1044"/>
      <c r="CM475" s="1044"/>
      <c r="CN475" s="1044" t="s">
        <v>175</v>
      </c>
    </row>
    <row r="476" spans="1:92">
      <c r="A476" s="1034">
        <f t="shared" si="716"/>
        <v>41631</v>
      </c>
      <c r="B476" s="1035">
        <v>0.33333333333333398</v>
      </c>
      <c r="C476" s="854">
        <f t="shared" si="712"/>
        <v>24</v>
      </c>
      <c r="D476" s="1044"/>
      <c r="E476" s="1044"/>
      <c r="F476" s="1044"/>
      <c r="G476" s="1044"/>
      <c r="H476" s="1044"/>
      <c r="I476" s="1044"/>
      <c r="J476" s="1044"/>
      <c r="K476" s="1044"/>
      <c r="L476" s="1044"/>
      <c r="M476" s="1044"/>
      <c r="N476" s="1044"/>
      <c r="O476" s="1044"/>
      <c r="P476" s="1044"/>
      <c r="Q476" s="1044"/>
      <c r="R476" s="1044"/>
      <c r="S476" s="1044"/>
      <c r="T476" s="1044"/>
      <c r="U476" s="1044"/>
      <c r="V476" s="1044"/>
      <c r="W476" s="1044"/>
      <c r="X476" s="1044"/>
      <c r="Y476" s="1044"/>
      <c r="Z476" s="1044"/>
      <c r="AA476" s="1044"/>
      <c r="AB476" s="1044"/>
      <c r="AC476" s="1044"/>
      <c r="AD476" s="1044"/>
      <c r="AE476" s="1044"/>
      <c r="AF476" s="1044"/>
      <c r="AG476" s="1044"/>
      <c r="AH476" s="1044"/>
      <c r="AI476" s="1044"/>
      <c r="AJ476" s="1044"/>
      <c r="AK476" s="1044"/>
      <c r="AL476" s="1044">
        <v>35.299999999999997</v>
      </c>
      <c r="AM476" s="1068">
        <v>1622</v>
      </c>
      <c r="AN476" s="208">
        <f t="shared" si="717"/>
        <v>58.320000000000007</v>
      </c>
      <c r="AO476" s="208">
        <f t="shared" si="718"/>
        <v>24.228395061728392</v>
      </c>
      <c r="AP476" s="1068">
        <v>790</v>
      </c>
      <c r="AQ476" s="76">
        <f t="shared" si="619"/>
        <v>47130.909375000003</v>
      </c>
      <c r="AR476" s="76">
        <f t="shared" si="719"/>
        <v>905.203125</v>
      </c>
      <c r="AS476" s="230">
        <f t="shared" si="720"/>
        <v>37.716796875</v>
      </c>
      <c r="AT476" s="208">
        <f t="shared" si="726"/>
        <v>706.33274904915982</v>
      </c>
      <c r="AU476" s="1058"/>
      <c r="AV476" s="230">
        <f t="shared" si="727"/>
        <v>545.50078209066601</v>
      </c>
      <c r="AW476" s="855">
        <f t="shared" si="686"/>
        <v>0.640625</v>
      </c>
      <c r="AX476" s="1044"/>
      <c r="AY476" s="1044"/>
      <c r="AZ476" s="1044"/>
      <c r="BA476" s="1044"/>
      <c r="BB476" s="1044"/>
      <c r="BC476" s="1044"/>
      <c r="BD476" s="1044"/>
      <c r="BE476" s="1044"/>
      <c r="BF476" s="1044"/>
      <c r="BG476" s="1044"/>
      <c r="BH476" s="1044"/>
      <c r="BI476" s="1044"/>
      <c r="BJ476" s="1044"/>
      <c r="BK476" s="1044"/>
      <c r="BL476" s="1044"/>
      <c r="BM476" s="1044"/>
      <c r="BN476" s="1044"/>
      <c r="BO476" s="1044"/>
      <c r="BP476" s="1044"/>
      <c r="BQ476" s="1044"/>
      <c r="BR476" s="1044"/>
      <c r="BS476" s="1044"/>
      <c r="BT476" s="1044"/>
      <c r="BU476" s="1044"/>
      <c r="BV476" s="1044"/>
      <c r="BW476" s="1044">
        <v>50.4</v>
      </c>
      <c r="BX476" s="1044">
        <v>953</v>
      </c>
      <c r="BY476" s="1054">
        <f t="shared" si="721"/>
        <v>52</v>
      </c>
      <c r="BZ476" s="1054">
        <f t="shared" si="722"/>
        <v>14.346153846153847</v>
      </c>
      <c r="CA476" s="1044">
        <v>448</v>
      </c>
      <c r="CB476" s="1047">
        <f t="shared" si="667"/>
        <v>46809.55</v>
      </c>
      <c r="CC476" s="208">
        <f t="shared" si="723"/>
        <v>367.96875</v>
      </c>
      <c r="CD476" s="208">
        <f t="shared" si="724"/>
        <v>15.33203125</v>
      </c>
      <c r="CE476" s="230">
        <f t="shared" si="728"/>
        <v>437.78442982673903</v>
      </c>
      <c r="CF476" s="1058"/>
      <c r="CG476" s="208">
        <f>CC476/(AVERAGE(BY476,BY477)*AVERAGE((D$458,D$456,D$437,D$451,D$443,D$444,D$449,D$465,D$470,D$463))*0.01)</f>
        <v>338.10091515519053</v>
      </c>
      <c r="CH476" s="855">
        <f t="shared" si="725"/>
        <v>0.49325569705093836</v>
      </c>
      <c r="CI476" s="1044"/>
      <c r="CJ476" s="1044"/>
      <c r="CK476" s="1044"/>
      <c r="CL476" s="1044"/>
      <c r="CM476" s="1044"/>
      <c r="CN476" s="1044"/>
    </row>
    <row r="477" spans="1:92">
      <c r="A477" s="1034">
        <f t="shared" si="716"/>
        <v>41632</v>
      </c>
      <c r="B477" s="1035">
        <v>0.33333333333333398</v>
      </c>
      <c r="C477" s="854">
        <f t="shared" si="712"/>
        <v>24</v>
      </c>
      <c r="D477" s="1044"/>
      <c r="E477" s="1044"/>
      <c r="F477" s="1044"/>
      <c r="G477" s="1044"/>
      <c r="H477" s="1044"/>
      <c r="I477" s="1044"/>
      <c r="J477" s="1044"/>
      <c r="K477" s="1044"/>
      <c r="L477" s="1044"/>
      <c r="M477" s="1044"/>
      <c r="N477" s="1044"/>
      <c r="O477" s="1044"/>
      <c r="P477" s="1044"/>
      <c r="Q477" s="1044"/>
      <c r="R477" s="1044"/>
      <c r="S477" s="1044"/>
      <c r="T477" s="1044"/>
      <c r="U477" s="1044"/>
      <c r="V477" s="1044"/>
      <c r="W477" s="1044"/>
      <c r="X477" s="1044"/>
      <c r="Y477" s="1044"/>
      <c r="Z477" s="1044"/>
      <c r="AA477" s="1044"/>
      <c r="AB477" s="1044"/>
      <c r="AC477" s="1044"/>
      <c r="AD477" s="1044"/>
      <c r="AE477" s="1044"/>
      <c r="AF477" s="1044"/>
      <c r="AG477" s="1044"/>
      <c r="AH477" s="1044"/>
      <c r="AI477" s="1044"/>
      <c r="AJ477" s="1044"/>
      <c r="AK477" s="1044"/>
      <c r="AL477" s="1044">
        <v>35.4</v>
      </c>
      <c r="AM477" s="1068">
        <v>1643</v>
      </c>
      <c r="AN477" s="208">
        <f t="shared" si="717"/>
        <v>45.36</v>
      </c>
      <c r="AO477" s="208">
        <f t="shared" si="718"/>
        <v>31.150793650793652</v>
      </c>
      <c r="AP477" s="1068">
        <v>801</v>
      </c>
      <c r="AQ477" s="76">
        <f t="shared" si="619"/>
        <v>47794.725000000006</v>
      </c>
      <c r="AR477" s="76">
        <f t="shared" si="719"/>
        <v>663.81562500000291</v>
      </c>
      <c r="AS477" s="230">
        <f t="shared" si="720"/>
        <v>27.65898437500012</v>
      </c>
      <c r="AT477" s="208">
        <f t="shared" si="726"/>
        <v>443.98058511661674</v>
      </c>
      <c r="AU477" s="1058"/>
      <c r="AV477" s="230">
        <f t="shared" si="727"/>
        <v>342.88620588556307</v>
      </c>
      <c r="AW477" s="855">
        <f t="shared" si="686"/>
        <v>0.46979166666666872</v>
      </c>
      <c r="AX477" s="1044"/>
      <c r="AY477" s="1044"/>
      <c r="AZ477" s="1044"/>
      <c r="BA477" s="1044"/>
      <c r="BB477" s="1044"/>
      <c r="BC477" s="1044" t="s">
        <v>176</v>
      </c>
      <c r="BD477" s="1044"/>
      <c r="BE477" s="1044"/>
      <c r="BF477" s="1044"/>
      <c r="BG477" s="1044"/>
      <c r="BH477" s="1044"/>
      <c r="BI477" s="1044"/>
      <c r="BJ477" s="1044"/>
      <c r="BK477" s="1044"/>
      <c r="BL477" s="1044"/>
      <c r="BM477" s="1044"/>
      <c r="BN477" s="1044"/>
      <c r="BO477" s="1044"/>
      <c r="BP477" s="1044"/>
      <c r="BQ477" s="1044"/>
      <c r="BR477" s="1044"/>
      <c r="BS477" s="1044"/>
      <c r="BT477" s="1044"/>
      <c r="BU477" s="1044"/>
      <c r="BV477" s="1044"/>
      <c r="BW477" s="1044">
        <v>50.5</v>
      </c>
      <c r="BX477" s="1044">
        <v>961</v>
      </c>
      <c r="BY477" s="1054">
        <f t="shared" si="721"/>
        <v>16</v>
      </c>
      <c r="BZ477" s="1054">
        <f t="shared" si="722"/>
        <v>46.625</v>
      </c>
      <c r="CA477" s="1044">
        <v>455</v>
      </c>
      <c r="CB477" s="1047">
        <f t="shared" si="667"/>
        <v>47238.846875000003</v>
      </c>
      <c r="CC477" s="208">
        <f t="shared" si="723"/>
        <v>429.296875</v>
      </c>
      <c r="CD477" s="208">
        <f t="shared" si="724"/>
        <v>17.887369791666668</v>
      </c>
      <c r="CE477" s="230">
        <f t="shared" si="728"/>
        <v>542.670282806062</v>
      </c>
      <c r="CF477" s="1058"/>
      <c r="CG477" s="208">
        <f>CC477/(AVERAGE(BY477,BY478)*AVERAGE((D$458,D$456,D$437,D$451,D$443,D$444,D$449,D$465,D$470,D$463))*0.01)</f>
        <v>419.10425941112157</v>
      </c>
      <c r="CH477" s="855">
        <f t="shared" si="725"/>
        <v>0.57546497989276135</v>
      </c>
      <c r="CI477" s="1044"/>
      <c r="CJ477" s="1044"/>
      <c r="CK477" s="1044"/>
      <c r="CL477" s="1044"/>
      <c r="CM477" s="1044"/>
      <c r="CN477" s="1044" t="s">
        <v>176</v>
      </c>
    </row>
    <row r="478" spans="1:92">
      <c r="A478" s="1034">
        <f t="shared" si="716"/>
        <v>41633</v>
      </c>
      <c r="B478" s="1035">
        <v>0.33333333333333398</v>
      </c>
      <c r="C478" s="854">
        <f t="shared" si="712"/>
        <v>24</v>
      </c>
      <c r="D478" s="1044"/>
      <c r="E478" s="1044"/>
      <c r="F478" s="1044"/>
      <c r="G478" s="1044"/>
      <c r="H478" s="1044"/>
      <c r="I478" s="1044"/>
      <c r="J478" s="1044"/>
      <c r="K478" s="1044"/>
      <c r="L478" s="1044"/>
      <c r="M478" s="1044">
        <v>50</v>
      </c>
      <c r="N478" s="1044">
        <v>85</v>
      </c>
      <c r="O478" s="1044"/>
      <c r="P478" s="1044"/>
      <c r="Q478" s="1044"/>
      <c r="R478" s="1044"/>
      <c r="S478" s="1044"/>
      <c r="T478" s="1044"/>
      <c r="U478" s="1044"/>
      <c r="V478" s="1044"/>
      <c r="W478" s="1044"/>
      <c r="X478" s="1044"/>
      <c r="Y478" s="1044"/>
      <c r="Z478" s="1044"/>
      <c r="AA478" s="1044"/>
      <c r="AB478" s="1044"/>
      <c r="AC478" s="1044"/>
      <c r="AD478" s="1044"/>
      <c r="AE478" s="1044"/>
      <c r="AF478" s="1044"/>
      <c r="AG478" s="1044"/>
      <c r="AH478" s="1044"/>
      <c r="AI478" s="1044"/>
      <c r="AJ478" s="1044"/>
      <c r="AK478" s="1044"/>
      <c r="AL478" s="1044">
        <v>35.299999999999997</v>
      </c>
      <c r="AM478" s="1068">
        <v>1678</v>
      </c>
      <c r="AN478" s="208">
        <f t="shared" si="717"/>
        <v>75.600000000000009</v>
      </c>
      <c r="AO478" s="208">
        <f t="shared" si="718"/>
        <v>18.69047619047619</v>
      </c>
      <c r="AP478" s="1068">
        <v>816</v>
      </c>
      <c r="AQ478" s="76">
        <f t="shared" si="619"/>
        <v>48699.928125000006</v>
      </c>
      <c r="AR478" s="76">
        <f t="shared" si="719"/>
        <v>905.203125</v>
      </c>
      <c r="AS478" s="230">
        <f t="shared" si="720"/>
        <v>37.716796875</v>
      </c>
      <c r="AT478" s="208">
        <f t="shared" si="726"/>
        <v>538.15828498983603</v>
      </c>
      <c r="AU478" s="1058"/>
      <c r="AV478" s="230">
        <f t="shared" si="727"/>
        <v>415.61964349765037</v>
      </c>
      <c r="AW478" s="855">
        <f t="shared" si="686"/>
        <v>0.640625</v>
      </c>
      <c r="AX478" s="1044"/>
      <c r="AY478" s="1044"/>
      <c r="AZ478" s="1044"/>
      <c r="BA478" s="1044"/>
      <c r="BB478" s="1044"/>
      <c r="BC478" s="1044"/>
      <c r="BD478" s="1044"/>
      <c r="BE478" s="1044"/>
      <c r="BF478" s="1044"/>
      <c r="BG478" s="1044"/>
      <c r="BH478" s="1044"/>
      <c r="BI478" s="1044"/>
      <c r="BJ478" s="1044"/>
      <c r="BK478" s="1044"/>
      <c r="BL478" s="1044"/>
      <c r="BM478" s="1044"/>
      <c r="BN478" s="1044"/>
      <c r="BO478" s="1044"/>
      <c r="BP478" s="1044"/>
      <c r="BQ478" s="1044"/>
      <c r="BR478" s="1044"/>
      <c r="BS478" s="1044"/>
      <c r="BT478" s="1044"/>
      <c r="BU478" s="1044"/>
      <c r="BV478" s="1044"/>
      <c r="BW478" s="1044">
        <v>50.5</v>
      </c>
      <c r="BX478" s="1044">
        <v>985</v>
      </c>
      <c r="BY478" s="1054">
        <f t="shared" si="721"/>
        <v>48</v>
      </c>
      <c r="BZ478" s="1054">
        <f t="shared" si="722"/>
        <v>15.541666666666666</v>
      </c>
      <c r="CA478" s="1044">
        <v>463</v>
      </c>
      <c r="CB478" s="1047">
        <f t="shared" si="667"/>
        <v>47729.471875000003</v>
      </c>
      <c r="CC478" s="208">
        <f t="shared" si="723"/>
        <v>490.625</v>
      </c>
      <c r="CD478" s="208">
        <f t="shared" si="724"/>
        <v>20.442708333333332</v>
      </c>
      <c r="CE478" s="230">
        <f t="shared" si="728"/>
        <v>496.15568713697087</v>
      </c>
      <c r="CF478" s="1058"/>
      <c r="CG478" s="208">
        <f>CC478/(AVERAGE(BY478,BY479)*AVERAGE((D$458,D$456,D$437,D$451,D$443,D$444,D$449,D$465,D$470,D$463))*0.01)</f>
        <v>383.18103717588252</v>
      </c>
      <c r="CH478" s="855">
        <f t="shared" si="725"/>
        <v>0.6576742627345844</v>
      </c>
      <c r="CI478" s="1044"/>
      <c r="CJ478" s="1044"/>
      <c r="CK478" s="1044"/>
      <c r="CL478" s="1044"/>
      <c r="CM478" s="1044"/>
      <c r="CN478" s="1044"/>
    </row>
    <row r="479" spans="1:92">
      <c r="A479" s="1034">
        <f t="shared" si="716"/>
        <v>41634</v>
      </c>
      <c r="B479" s="1035">
        <v>0.33333333333333398</v>
      </c>
      <c r="C479" s="854">
        <f t="shared" si="712"/>
        <v>24</v>
      </c>
      <c r="D479" s="1044"/>
      <c r="E479" s="1044"/>
      <c r="F479" s="1044"/>
      <c r="G479" s="1044"/>
      <c r="H479" s="1044"/>
      <c r="I479" s="1044"/>
      <c r="J479" s="1044"/>
      <c r="K479" s="1044"/>
      <c r="L479" s="1044"/>
      <c r="M479" s="1044"/>
      <c r="N479" s="1044"/>
      <c r="O479" s="1044"/>
      <c r="P479" s="1044"/>
      <c r="Q479" s="1044"/>
      <c r="R479" s="1044"/>
      <c r="S479" s="1044"/>
      <c r="T479" s="1044"/>
      <c r="U479" s="1044"/>
      <c r="V479" s="1044"/>
      <c r="W479" s="1044"/>
      <c r="X479" s="1044"/>
      <c r="Y479" s="1044"/>
      <c r="Z479" s="1044"/>
      <c r="AA479" s="1044"/>
      <c r="AB479" s="1044"/>
      <c r="AC479" s="1044"/>
      <c r="AD479" s="1044"/>
      <c r="AE479" s="1044"/>
      <c r="AF479" s="1044"/>
      <c r="AG479" s="1044"/>
      <c r="AH479" s="1044"/>
      <c r="AI479" s="1044"/>
      <c r="AJ479" s="1044"/>
      <c r="AK479" s="1044"/>
      <c r="AL479" s="1044">
        <v>35.200000000000003</v>
      </c>
      <c r="AM479" s="1068">
        <v>1706</v>
      </c>
      <c r="AN479" s="208">
        <f t="shared" si="717"/>
        <v>60.480000000000004</v>
      </c>
      <c r="AO479" s="208">
        <f t="shared" si="718"/>
        <v>23.363095238095237</v>
      </c>
      <c r="AP479" s="1068">
        <v>830</v>
      </c>
      <c r="AQ479" s="76">
        <f t="shared" si="619"/>
        <v>49544.784375000003</v>
      </c>
      <c r="AR479" s="76">
        <f t="shared" si="719"/>
        <v>844.85624999999709</v>
      </c>
      <c r="AS479" s="230">
        <f t="shared" si="720"/>
        <v>35.202343749999876</v>
      </c>
      <c r="AT479" s="208">
        <f t="shared" si="726"/>
        <v>597.05107844155191</v>
      </c>
      <c r="AU479" s="1058"/>
      <c r="AV479" s="230">
        <f t="shared" si="727"/>
        <v>461.10254788041055</v>
      </c>
      <c r="AW479" s="855">
        <f t="shared" si="686"/>
        <v>0.59791666666666465</v>
      </c>
      <c r="AX479" s="1044"/>
      <c r="AY479" s="1044"/>
      <c r="AZ479" s="1044"/>
      <c r="BA479" s="1044"/>
      <c r="BB479" s="1044"/>
      <c r="BC479" s="1044"/>
      <c r="BD479" s="1044"/>
      <c r="BE479" s="1044"/>
      <c r="BF479" s="1044"/>
      <c r="BG479" s="1044"/>
      <c r="BH479" s="1044"/>
      <c r="BI479" s="1044"/>
      <c r="BJ479" s="1044"/>
      <c r="BK479" s="1044"/>
      <c r="BL479" s="1044"/>
      <c r="BM479" s="1044"/>
      <c r="BN479" s="1044"/>
      <c r="BO479" s="1044"/>
      <c r="BP479" s="1044"/>
      <c r="BQ479" s="1044"/>
      <c r="BR479" s="1044"/>
      <c r="BS479" s="1044"/>
      <c r="BT479" s="1044"/>
      <c r="BU479" s="1044"/>
      <c r="BV479" s="1044"/>
      <c r="BW479" s="1044">
        <v>50.5</v>
      </c>
      <c r="BX479" s="1044">
        <v>1001</v>
      </c>
      <c r="BY479" s="1054">
        <f t="shared" si="721"/>
        <v>32</v>
      </c>
      <c r="BZ479" s="1054">
        <f t="shared" si="722"/>
        <v>23.3125</v>
      </c>
      <c r="CA479" s="1044">
        <v>470</v>
      </c>
      <c r="CB479" s="1047">
        <f t="shared" si="667"/>
        <v>48158.768750000003</v>
      </c>
      <c r="CC479" s="208">
        <f t="shared" si="723"/>
        <v>429.296875</v>
      </c>
      <c r="CD479" s="208">
        <f t="shared" si="724"/>
        <v>17.887369791666668</v>
      </c>
      <c r="CE479" s="230">
        <f t="shared" si="728"/>
        <v>542.670282806062</v>
      </c>
      <c r="CF479" s="1058"/>
      <c r="CG479" s="208">
        <f>CC479/(AVERAGE(BY479,BY480)*AVERAGE((D$458,D$456,D$437,D$451,D$443,D$444,D$449,D$465,D$470,D$463))*0.01)</f>
        <v>419.10425941112157</v>
      </c>
      <c r="CH479" s="855">
        <f t="shared" si="725"/>
        <v>0.57546497989276135</v>
      </c>
      <c r="CI479" s="1044"/>
      <c r="CJ479" s="1044"/>
      <c r="CK479" s="1044"/>
      <c r="CL479" s="1044"/>
      <c r="CM479" s="1044"/>
      <c r="CN479" s="1044"/>
    </row>
    <row r="480" spans="1:92">
      <c r="A480" s="1034">
        <f t="shared" si="716"/>
        <v>41635</v>
      </c>
      <c r="B480" s="1035">
        <v>0.33333333333333398</v>
      </c>
      <c r="C480" s="854">
        <f t="shared" si="712"/>
        <v>24</v>
      </c>
      <c r="D480" s="1044"/>
      <c r="E480" s="1044"/>
      <c r="F480" s="1044"/>
      <c r="G480" s="1044"/>
      <c r="H480" s="1044"/>
      <c r="I480" s="1044"/>
      <c r="J480" s="1044"/>
      <c r="K480" s="1044"/>
      <c r="L480" s="1044"/>
      <c r="M480" s="1044">
        <v>50</v>
      </c>
      <c r="N480" s="1044">
        <v>85</v>
      </c>
      <c r="O480" s="1044"/>
      <c r="P480" s="1044"/>
      <c r="Q480" s="1044"/>
      <c r="R480" s="1044"/>
      <c r="S480" s="1044"/>
      <c r="T480" s="1044"/>
      <c r="U480" s="1044"/>
      <c r="V480" s="1044"/>
      <c r="W480" s="1044"/>
      <c r="X480" s="1044"/>
      <c r="Y480" s="1044"/>
      <c r="Z480" s="1044"/>
      <c r="AA480" s="1044"/>
      <c r="AB480" s="1044"/>
      <c r="AC480" s="1044"/>
      <c r="AD480" s="1044"/>
      <c r="AE480" s="1044"/>
      <c r="AF480" s="1044"/>
      <c r="AG480" s="1044"/>
      <c r="AH480" s="1044"/>
      <c r="AI480" s="1044"/>
      <c r="AJ480" s="1044"/>
      <c r="AK480" s="1044"/>
      <c r="AL480" s="1044">
        <v>35.1</v>
      </c>
      <c r="AM480" s="1068">
        <v>1731</v>
      </c>
      <c r="AN480" s="208">
        <f t="shared" si="717"/>
        <v>54</v>
      </c>
      <c r="AO480" s="208">
        <f t="shared" si="718"/>
        <v>26.166666666666668</v>
      </c>
      <c r="AP480" s="1068">
        <v>842</v>
      </c>
      <c r="AQ480" s="76">
        <f t="shared" si="619"/>
        <v>50268.946875000001</v>
      </c>
      <c r="AR480" s="76">
        <f t="shared" si="719"/>
        <v>724.16249999999854</v>
      </c>
      <c r="AS480" s="230">
        <f t="shared" si="720"/>
        <v>30.173437499999938</v>
      </c>
      <c r="AT480" s="208">
        <f t="shared" si="726"/>
        <v>475.84522041206469</v>
      </c>
      <c r="AU480" s="1058"/>
      <c r="AV480" s="230">
        <f t="shared" si="727"/>
        <v>367.49526372423753</v>
      </c>
      <c r="AW480" s="855">
        <f t="shared" si="686"/>
        <v>0.51249999999999896</v>
      </c>
      <c r="AX480" s="1044"/>
      <c r="AY480" s="1044"/>
      <c r="AZ480" s="1044"/>
      <c r="BA480" s="1044"/>
      <c r="BB480" s="1044"/>
      <c r="BC480" s="1044"/>
      <c r="BD480" s="1044"/>
      <c r="BE480" s="1044"/>
      <c r="BF480" s="1044"/>
      <c r="BG480" s="1044"/>
      <c r="BH480" s="1044"/>
      <c r="BI480" s="1044"/>
      <c r="BJ480" s="1044"/>
      <c r="BK480" s="1044"/>
      <c r="BL480" s="1044"/>
      <c r="BM480" s="1044"/>
      <c r="BN480" s="1044"/>
      <c r="BO480" s="1044"/>
      <c r="BP480" s="1044"/>
      <c r="BQ480" s="1044"/>
      <c r="BR480" s="1044"/>
      <c r="BS480" s="1044"/>
      <c r="BT480" s="1044"/>
      <c r="BU480" s="1044"/>
      <c r="BV480" s="1044"/>
      <c r="BW480" s="1044">
        <v>50.5</v>
      </c>
      <c r="BX480" s="1044">
        <v>1017</v>
      </c>
      <c r="BY480" s="1054">
        <f t="shared" si="721"/>
        <v>32</v>
      </c>
      <c r="BZ480" s="1054">
        <f t="shared" si="722"/>
        <v>23.3125</v>
      </c>
      <c r="CA480" s="1044">
        <v>476</v>
      </c>
      <c r="CB480" s="1047">
        <f t="shared" si="667"/>
        <v>48526.737500000003</v>
      </c>
      <c r="CC480" s="208">
        <f t="shared" si="723"/>
        <v>367.96875</v>
      </c>
      <c r="CD480" s="208">
        <f t="shared" si="724"/>
        <v>15.33203125</v>
      </c>
      <c r="CE480" s="230">
        <f t="shared" si="728"/>
        <v>465.14595669091023</v>
      </c>
      <c r="CF480" s="1058"/>
      <c r="CG480" s="208">
        <f>CC480/(AVERAGE(BY480,BY481)*AVERAGE((D$458,D$456,D$437,D$451,D$443,D$444,D$449,D$465,D$470,D$463))*0.01)</f>
        <v>359.2322223523899</v>
      </c>
      <c r="CH480" s="855">
        <f t="shared" si="725"/>
        <v>0.49325569705093836</v>
      </c>
      <c r="CI480" s="1044"/>
      <c r="CJ480" s="1044"/>
      <c r="CK480" s="1044"/>
      <c r="CL480" s="1044"/>
      <c r="CM480" s="1044"/>
      <c r="CN480" s="1044"/>
    </row>
    <row r="481" spans="1:92">
      <c r="A481" s="1034">
        <f t="shared" si="716"/>
        <v>41636</v>
      </c>
      <c r="B481" s="1035">
        <v>0.33333333333333398</v>
      </c>
      <c r="C481" s="854">
        <f t="shared" ref="C481:C489" si="729">((A481-A480)+(B481-B480))*24</f>
        <v>24</v>
      </c>
      <c r="D481" s="1044"/>
      <c r="E481" s="1044"/>
      <c r="F481" s="1044"/>
      <c r="G481" s="1044"/>
      <c r="H481" s="1044"/>
      <c r="I481" s="1044"/>
      <c r="J481" s="1044"/>
      <c r="K481" s="1044"/>
      <c r="L481" s="1044"/>
      <c r="M481" s="1044">
        <v>65</v>
      </c>
      <c r="N481" s="1044">
        <v>90</v>
      </c>
      <c r="O481" s="1044"/>
      <c r="P481" s="1044"/>
      <c r="Q481" s="1044"/>
      <c r="R481" s="1044"/>
      <c r="S481" s="1044"/>
      <c r="T481" s="1044"/>
      <c r="U481" s="1044"/>
      <c r="V481" s="1044"/>
      <c r="W481" s="1044"/>
      <c r="X481" s="1044"/>
      <c r="Y481" s="1044"/>
      <c r="Z481" s="1044"/>
      <c r="AA481" s="1044"/>
      <c r="AB481" s="1044"/>
      <c r="AC481" s="1044"/>
      <c r="AD481" s="1044"/>
      <c r="AE481" s="1044"/>
      <c r="AF481" s="1044"/>
      <c r="AG481" s="1044"/>
      <c r="AH481" s="1044"/>
      <c r="AI481" s="1044"/>
      <c r="AJ481" s="1044"/>
      <c r="AK481" s="1044"/>
      <c r="AL481" s="1044">
        <v>35.1</v>
      </c>
      <c r="AM481" s="1068">
        <v>1763</v>
      </c>
      <c r="AN481" s="208">
        <f t="shared" si="717"/>
        <v>69.12</v>
      </c>
      <c r="AO481" s="208">
        <f t="shared" si="718"/>
        <v>20.442708333333332</v>
      </c>
      <c r="AP481" s="1068">
        <v>854</v>
      </c>
      <c r="AQ481" s="76">
        <f t="shared" si="619"/>
        <v>50993.109375</v>
      </c>
      <c r="AR481" s="76">
        <f t="shared" si="719"/>
        <v>724.16249999999854</v>
      </c>
      <c r="AS481" s="230">
        <f t="shared" si="720"/>
        <v>30.173437499999938</v>
      </c>
      <c r="AT481" s="208">
        <f t="shared" si="726"/>
        <v>459.71487395741843</v>
      </c>
      <c r="AU481" s="1058"/>
      <c r="AV481" s="230">
        <f t="shared" si="727"/>
        <v>355.03779715731423</v>
      </c>
      <c r="AW481" s="855">
        <f t="shared" si="686"/>
        <v>0.51249999999999896</v>
      </c>
      <c r="AX481" s="1044"/>
      <c r="AY481" s="1044"/>
      <c r="AZ481" s="1044"/>
      <c r="BA481" s="1044"/>
      <c r="BB481" s="1044"/>
      <c r="BC481" s="1044"/>
      <c r="BD481" s="1044"/>
      <c r="BE481" s="1044"/>
      <c r="BF481" s="1044"/>
      <c r="BG481" s="1044"/>
      <c r="BH481" s="1044"/>
      <c r="BI481" s="1044"/>
      <c r="BJ481" s="1044"/>
      <c r="BK481" s="1044"/>
      <c r="BL481" s="1044"/>
      <c r="BM481" s="1044"/>
      <c r="BN481" s="1044"/>
      <c r="BO481" s="1044"/>
      <c r="BP481" s="1044"/>
      <c r="BQ481" s="1044"/>
      <c r="BR481" s="1044"/>
      <c r="BS481" s="1044"/>
      <c r="BT481" s="1044"/>
      <c r="BU481" s="1044"/>
      <c r="BV481" s="1044"/>
      <c r="BW481" s="1044">
        <v>50.5</v>
      </c>
      <c r="BX481" s="1044">
        <v>1033</v>
      </c>
      <c r="BY481" s="1054">
        <f t="shared" si="721"/>
        <v>32</v>
      </c>
      <c r="BZ481" s="1054">
        <f t="shared" si="722"/>
        <v>23.3125</v>
      </c>
      <c r="CA481" s="1044">
        <v>483</v>
      </c>
      <c r="CB481" s="1047">
        <f t="shared" si="667"/>
        <v>48956.034375000003</v>
      </c>
      <c r="CC481" s="208">
        <f t="shared" si="723"/>
        <v>429.296875</v>
      </c>
      <c r="CD481" s="208">
        <f t="shared" si="724"/>
        <v>17.887369791666668</v>
      </c>
      <c r="CE481" s="230">
        <f t="shared" si="728"/>
        <v>560.17577579980582</v>
      </c>
      <c r="CF481" s="1058"/>
      <c r="CG481" s="208">
        <f>CC481/(AVERAGE(BY481,BY482)*AVERAGE((D$458,D$456,D$437,D$451,D$443,D$444,D$449,D$465,D$470,D$463))*0.01)</f>
        <v>432.62375165019</v>
      </c>
      <c r="CH481" s="855">
        <f t="shared" si="725"/>
        <v>0.57546497989276135</v>
      </c>
      <c r="CI481" s="1044"/>
      <c r="CJ481" s="1044"/>
      <c r="CK481" s="1044"/>
      <c r="CL481" s="1044"/>
      <c r="CM481" s="1044"/>
      <c r="CN481" s="1044"/>
    </row>
    <row r="482" spans="1:92">
      <c r="A482" s="1034">
        <f t="shared" si="716"/>
        <v>41637</v>
      </c>
      <c r="B482" s="1035">
        <v>0.33333333333333398</v>
      </c>
      <c r="C482" s="854">
        <f t="shared" si="729"/>
        <v>24</v>
      </c>
      <c r="D482" s="1044"/>
      <c r="E482" s="1044"/>
      <c r="F482" s="1044"/>
      <c r="G482" s="1044"/>
      <c r="H482" s="1044"/>
      <c r="I482" s="1044"/>
      <c r="J482" s="1044"/>
      <c r="K482" s="1044"/>
      <c r="L482" s="1044"/>
      <c r="M482" s="1044"/>
      <c r="N482" s="1044"/>
      <c r="O482" s="1044"/>
      <c r="P482" s="1044"/>
      <c r="Q482" s="1044"/>
      <c r="R482" s="1044"/>
      <c r="S482" s="1044"/>
      <c r="T482" s="1044"/>
      <c r="U482" s="1044"/>
      <c r="V482" s="1044"/>
      <c r="W482" s="1044"/>
      <c r="X482" s="1044"/>
      <c r="Y482" s="1044"/>
      <c r="Z482" s="1044"/>
      <c r="AA482" s="1044"/>
      <c r="AB482" s="1044"/>
      <c r="AC482" s="1044"/>
      <c r="AD482" s="1044"/>
      <c r="AE482" s="1044"/>
      <c r="AF482" s="1044"/>
      <c r="AG482" s="1044"/>
      <c r="AH482" s="1044"/>
      <c r="AI482" s="1044"/>
      <c r="AJ482" s="1044"/>
      <c r="AK482" s="1044"/>
      <c r="AL482" s="1044">
        <v>35.299999999999997</v>
      </c>
      <c r="AM482" s="1068">
        <v>1790</v>
      </c>
      <c r="AN482" s="208">
        <f t="shared" si="717"/>
        <v>58.320000000000007</v>
      </c>
      <c r="AO482" s="208">
        <f t="shared" si="718"/>
        <v>24.228395061728392</v>
      </c>
      <c r="AP482" s="1068">
        <v>867</v>
      </c>
      <c r="AQ482" s="76">
        <f t="shared" si="619"/>
        <v>51777.618750000001</v>
      </c>
      <c r="AR482" s="76">
        <f t="shared" si="719"/>
        <v>784.50937500000146</v>
      </c>
      <c r="AS482" s="230">
        <f t="shared" si="720"/>
        <v>32.687890625000058</v>
      </c>
      <c r="AT482" s="208">
        <f t="shared" si="726"/>
        <v>534.24440655354738</v>
      </c>
      <c r="AU482" s="1058"/>
      <c r="AV482" s="230">
        <f t="shared" si="727"/>
        <v>412.59695518130457</v>
      </c>
      <c r="AW482" s="855">
        <f t="shared" si="686"/>
        <v>0.55520833333333441</v>
      </c>
      <c r="AX482" s="1044"/>
      <c r="AY482" s="1044"/>
      <c r="AZ482" s="1044"/>
      <c r="BA482" s="1044"/>
      <c r="BB482" s="1044"/>
      <c r="BC482" s="1044"/>
      <c r="BD482" s="1044"/>
      <c r="BE482" s="1044"/>
      <c r="BF482" s="1044"/>
      <c r="BG482" s="1044"/>
      <c r="BH482" s="1044"/>
      <c r="BI482" s="1044"/>
      <c r="BJ482" s="1044"/>
      <c r="BK482" s="1044"/>
      <c r="BL482" s="1044"/>
      <c r="BM482" s="1044"/>
      <c r="BN482" s="1044"/>
      <c r="BO482" s="1044"/>
      <c r="BP482" s="1044"/>
      <c r="BQ482" s="1044"/>
      <c r="BR482" s="1044"/>
      <c r="BS482" s="1044"/>
      <c r="BT482" s="1044"/>
      <c r="BU482" s="1044"/>
      <c r="BV482" s="1044"/>
      <c r="BW482" s="1044">
        <v>50.6</v>
      </c>
      <c r="BX482" s="1044">
        <v>1048</v>
      </c>
      <c r="BY482" s="1054">
        <f t="shared" si="721"/>
        <v>30</v>
      </c>
      <c r="BZ482" s="1054">
        <f t="shared" si="722"/>
        <v>24.866666666666667</v>
      </c>
      <c r="CA482" s="1044">
        <v>490</v>
      </c>
      <c r="CB482" s="1047">
        <f t="shared" si="667"/>
        <v>49385.331250000003</v>
      </c>
      <c r="CC482" s="208">
        <f t="shared" si="723"/>
        <v>429.296875</v>
      </c>
      <c r="CD482" s="208">
        <f t="shared" si="724"/>
        <v>17.887369791666668</v>
      </c>
      <c r="CE482" s="230">
        <f t="shared" si="728"/>
        <v>560.17577579980582</v>
      </c>
      <c r="CF482" s="1058"/>
      <c r="CG482" s="208">
        <f>CC482/(AVERAGE(BY482,BY483)*AVERAGE((D$458,D$456,D$437,D$451,D$443,D$444,D$449,D$465,D$470,D$463))*0.01)</f>
        <v>432.62375165019</v>
      </c>
      <c r="CH482" s="855">
        <f t="shared" si="725"/>
        <v>0.57546497989276135</v>
      </c>
      <c r="CI482" s="1044"/>
      <c r="CJ482" s="1044"/>
      <c r="CK482" s="1044"/>
      <c r="CL482" s="1044"/>
      <c r="CM482" s="1044"/>
      <c r="CN482" s="1044"/>
    </row>
    <row r="483" spans="1:92">
      <c r="A483" s="1034">
        <f t="shared" si="716"/>
        <v>41638</v>
      </c>
      <c r="B483" s="1035">
        <v>0.33333333333333398</v>
      </c>
      <c r="C483" s="854">
        <f t="shared" si="729"/>
        <v>24</v>
      </c>
      <c r="D483" s="1044"/>
      <c r="E483" s="1044"/>
      <c r="F483" s="1044"/>
      <c r="G483" s="1044"/>
      <c r="H483" s="1044"/>
      <c r="I483" s="1044"/>
      <c r="J483" s="1044"/>
      <c r="K483" s="1044"/>
      <c r="L483" s="1044"/>
      <c r="M483" s="1044">
        <v>60</v>
      </c>
      <c r="N483" s="1044">
        <v>85</v>
      </c>
      <c r="O483" s="1044"/>
      <c r="P483" s="1044"/>
      <c r="Q483" s="1044"/>
      <c r="R483" s="1044"/>
      <c r="S483" s="1044"/>
      <c r="T483" s="1044"/>
      <c r="U483" s="1044"/>
      <c r="V483" s="1044"/>
      <c r="W483" s="1044"/>
      <c r="X483" s="1044"/>
      <c r="Y483" s="1044"/>
      <c r="Z483" s="1044"/>
      <c r="AA483" s="1044"/>
      <c r="AB483" s="1044"/>
      <c r="AC483" s="1044"/>
      <c r="AD483" s="1044"/>
      <c r="AE483" s="1044"/>
      <c r="AF483" s="1044"/>
      <c r="AG483" s="1044"/>
      <c r="AH483" s="1044"/>
      <c r="AI483" s="1044"/>
      <c r="AJ483" s="1044"/>
      <c r="AK483" s="1044"/>
      <c r="AL483" s="1044">
        <v>35.200000000000003</v>
      </c>
      <c r="AM483" s="1068">
        <v>1818</v>
      </c>
      <c r="AN483" s="208">
        <f t="shared" si="717"/>
        <v>60.480000000000004</v>
      </c>
      <c r="AO483" s="208">
        <f t="shared" si="718"/>
        <v>23.363095238095237</v>
      </c>
      <c r="AP483" s="1068">
        <v>880</v>
      </c>
      <c r="AQ483" s="76">
        <f t="shared" si="619"/>
        <v>52562.128125000003</v>
      </c>
      <c r="AR483" s="76">
        <f t="shared" si="719"/>
        <v>784.50937500000146</v>
      </c>
      <c r="AS483" s="230">
        <f t="shared" si="720"/>
        <v>32.687890625000058</v>
      </c>
      <c r="AT483" s="208">
        <f t="shared" si="726"/>
        <v>667.80550819193422</v>
      </c>
      <c r="AU483" s="1058"/>
      <c r="AV483" s="230">
        <f t="shared" si="727"/>
        <v>515.74619397663082</v>
      </c>
      <c r="AW483" s="855">
        <f t="shared" si="686"/>
        <v>0.55520833333333441</v>
      </c>
      <c r="AX483" s="1044"/>
      <c r="AY483" s="1044"/>
      <c r="AZ483" s="1044"/>
      <c r="BA483" s="1044"/>
      <c r="BB483" s="1044"/>
      <c r="BC483" s="1044"/>
      <c r="BD483" s="1044"/>
      <c r="BE483" s="1044"/>
      <c r="BF483" s="1044"/>
      <c r="BG483" s="1044"/>
      <c r="BH483" s="1044"/>
      <c r="BI483" s="1044"/>
      <c r="BJ483" s="1044"/>
      <c r="BK483" s="1044"/>
      <c r="BL483" s="1044"/>
      <c r="BM483" s="1044"/>
      <c r="BN483" s="1044"/>
      <c r="BO483" s="1044"/>
      <c r="BP483" s="1044"/>
      <c r="BQ483" s="1044"/>
      <c r="BR483" s="1044"/>
      <c r="BS483" s="1044"/>
      <c r="BT483" s="1044"/>
      <c r="BU483" s="1044"/>
      <c r="BV483" s="1044"/>
      <c r="BW483" s="1044">
        <v>50.6</v>
      </c>
      <c r="BX483" s="1044">
        <v>1064</v>
      </c>
      <c r="BY483" s="1054">
        <f t="shared" si="721"/>
        <v>32</v>
      </c>
      <c r="BZ483" s="1054">
        <f t="shared" si="722"/>
        <v>23.3125</v>
      </c>
      <c r="CA483" s="1044">
        <v>498</v>
      </c>
      <c r="CB483" s="1047">
        <f t="shared" si="667"/>
        <v>49875.956250000003</v>
      </c>
      <c r="CC483" s="208">
        <f t="shared" si="723"/>
        <v>490.625</v>
      </c>
      <c r="CD483" s="208">
        <f t="shared" si="724"/>
        <v>20.442708333333332</v>
      </c>
      <c r="CE483" s="230">
        <f t="shared" si="728"/>
        <v>945.05845168946837</v>
      </c>
      <c r="CF483" s="1058"/>
      <c r="CG483" s="208">
        <f>CC483/(AVERAGE(BY483,BY484)*AVERAGE((D$458,D$456,D$437,D$451,D$443,D$444,D$449,D$465,D$470,D$463))*0.01)</f>
        <v>729.86864223977636</v>
      </c>
      <c r="CH483" s="855">
        <f t="shared" si="725"/>
        <v>0.6576742627345844</v>
      </c>
      <c r="CI483" s="1044"/>
      <c r="CJ483" s="1044"/>
      <c r="CK483" s="1044"/>
      <c r="CL483" s="1044"/>
      <c r="CM483" s="1044"/>
      <c r="CN483" s="1044"/>
    </row>
    <row r="484" spans="1:92">
      <c r="A484" s="1034">
        <f t="shared" si="716"/>
        <v>41639</v>
      </c>
      <c r="B484" s="1035">
        <v>0.33333333333333398</v>
      </c>
      <c r="C484" s="854">
        <f t="shared" si="729"/>
        <v>24</v>
      </c>
      <c r="D484" s="1044"/>
      <c r="E484" s="1044"/>
      <c r="F484" s="1044"/>
      <c r="G484" s="1044"/>
      <c r="H484" s="1044"/>
      <c r="I484" s="1044"/>
      <c r="J484" s="1044"/>
      <c r="K484" s="1044"/>
      <c r="L484" s="1044"/>
      <c r="M484" s="1044"/>
      <c r="N484" s="1044"/>
      <c r="O484" s="1044"/>
      <c r="P484" s="1044"/>
      <c r="Q484" s="1044"/>
      <c r="R484" s="1044"/>
      <c r="S484" s="1044"/>
      <c r="T484" s="1044"/>
      <c r="U484" s="1044"/>
      <c r="V484" s="1044"/>
      <c r="W484" s="1044"/>
      <c r="X484" s="1044"/>
      <c r="Y484" s="1044"/>
      <c r="Z484" s="1044"/>
      <c r="AA484" s="1044"/>
      <c r="AB484" s="1044"/>
      <c r="AC484" s="1044"/>
      <c r="AD484" s="1044"/>
      <c r="AE484" s="1044"/>
      <c r="AF484" s="1044"/>
      <c r="AG484" s="1044"/>
      <c r="AH484" s="1044"/>
      <c r="AI484" s="1044"/>
      <c r="AJ484" s="1044"/>
      <c r="AK484" s="1044"/>
      <c r="AL484" s="1044">
        <v>35.1</v>
      </c>
      <c r="AM484" s="1068">
        <v>1834</v>
      </c>
      <c r="AN484" s="208">
        <f t="shared" si="717"/>
        <v>34.56</v>
      </c>
      <c r="AO484" s="208">
        <f t="shared" si="718"/>
        <v>40.885416666666664</v>
      </c>
      <c r="AP484" s="1068">
        <v>888</v>
      </c>
      <c r="AQ484" s="76">
        <f t="shared" ref="AQ484:AQ487" si="730">((AP484-AP$418)*AQ$2)</f>
        <v>53044.903125000004</v>
      </c>
      <c r="AR484" s="76">
        <f t="shared" ref="AR484:AR486" si="731">(AQ484-AQ483)/(C484/24)</f>
        <v>482.77500000000146</v>
      </c>
      <c r="AS484" s="230">
        <f t="shared" ref="AS484:AS486" si="732">(AQ484-AQ483)/C484</f>
        <v>20.115625000000062</v>
      </c>
      <c r="AT484" s="208">
        <f t="shared" si="726"/>
        <v>602.73727918861823</v>
      </c>
      <c r="AU484" s="1058"/>
      <c r="AV484" s="230">
        <f t="shared" si="727"/>
        <v>465.49400071736983</v>
      </c>
      <c r="AW484" s="855">
        <f t="shared" si="686"/>
        <v>0.34166666666666767</v>
      </c>
      <c r="AX484" s="1044"/>
      <c r="AY484" s="1044"/>
      <c r="AZ484" s="1044"/>
      <c r="BA484" s="1044"/>
      <c r="BB484" s="1044"/>
      <c r="BC484" s="1044" t="s">
        <v>177</v>
      </c>
      <c r="BD484" s="1044"/>
      <c r="BE484" s="1044"/>
      <c r="BF484" s="1044"/>
      <c r="BG484" s="1044"/>
      <c r="BH484" s="1044"/>
      <c r="BI484" s="1044"/>
      <c r="BJ484" s="1044"/>
      <c r="BK484" s="1044"/>
      <c r="BL484" s="1044"/>
      <c r="BM484" s="1044"/>
      <c r="BN484" s="1044"/>
      <c r="BO484" s="1044"/>
      <c r="BP484" s="1044"/>
      <c r="BQ484" s="1044"/>
      <c r="BR484" s="1044"/>
      <c r="BS484" s="1044"/>
      <c r="BT484" s="1044"/>
      <c r="BU484" s="1044"/>
      <c r="BV484" s="1044"/>
      <c r="BW484" s="1044">
        <v>50.4</v>
      </c>
      <c r="BX484" s="1044">
        <v>1069</v>
      </c>
      <c r="BY484" s="1054">
        <f t="shared" ref="BY484:BY496" si="733">(BX484-BX483)*CB$1/((C484)/24)</f>
        <v>10</v>
      </c>
      <c r="BZ484" s="1054">
        <f t="shared" ref="BZ484:BZ496" si="734">CB$3/BY484</f>
        <v>74.599999999999994</v>
      </c>
      <c r="CA484" s="1044">
        <v>503</v>
      </c>
      <c r="CB484" s="1047">
        <f t="shared" si="667"/>
        <v>50182.596875000003</v>
      </c>
      <c r="CC484" s="208">
        <f t="shared" ref="CC484:CC496" si="735">(CB484-CB483)/((C484/24))</f>
        <v>306.640625</v>
      </c>
      <c r="CD484" s="208">
        <f t="shared" ref="CD484:CD496" si="736">(CB484-CB483)/(C484)</f>
        <v>12.776692708333334</v>
      </c>
      <c r="CE484" s="230">
        <f t="shared" si="728"/>
        <v>387.62163057575856</v>
      </c>
      <c r="CF484" s="1058"/>
      <c r="CG484" s="208">
        <f>CC484/(AVERAGE(BY484,BY485)*AVERAGE((D$458,D$456,D$437,D$451,D$443,D$444,D$449,D$465,D$470,D$463))*0.01)</f>
        <v>299.36018529365828</v>
      </c>
      <c r="CH484" s="855">
        <f t="shared" si="725"/>
        <v>0.41104641420911531</v>
      </c>
      <c r="CI484" s="1044"/>
      <c r="CJ484" s="1044"/>
      <c r="CK484" s="1044"/>
      <c r="CL484" s="1044"/>
      <c r="CM484" s="1044"/>
      <c r="CN484" s="1044" t="s">
        <v>177</v>
      </c>
    </row>
    <row r="485" spans="1:92">
      <c r="A485" s="1034">
        <f t="shared" si="716"/>
        <v>41640</v>
      </c>
      <c r="B485" s="1035">
        <v>0.33333333333333398</v>
      </c>
      <c r="C485" s="854">
        <f t="shared" si="729"/>
        <v>24</v>
      </c>
      <c r="D485" s="1044"/>
      <c r="E485" s="1044"/>
      <c r="F485" s="1044"/>
      <c r="G485" s="1044"/>
      <c r="H485" s="1044"/>
      <c r="I485" s="1044"/>
      <c r="J485" s="1044"/>
      <c r="K485" s="1044"/>
      <c r="L485" s="1044"/>
      <c r="M485" s="1044"/>
      <c r="N485" s="1044"/>
      <c r="O485" s="1044"/>
      <c r="P485" s="1044"/>
      <c r="Q485" s="1044"/>
      <c r="R485" s="1044"/>
      <c r="S485" s="1044"/>
      <c r="T485" s="1044"/>
      <c r="U485" s="1044"/>
      <c r="V485" s="1044"/>
      <c r="W485" s="1044"/>
      <c r="X485" s="1044"/>
      <c r="Y485" s="1044"/>
      <c r="Z485" s="1044"/>
      <c r="AA485" s="1044"/>
      <c r="AB485" s="1044"/>
      <c r="AC485" s="1044"/>
      <c r="AD485" s="1044"/>
      <c r="AE485" s="1044"/>
      <c r="AF485" s="1044"/>
      <c r="AG485" s="1044"/>
      <c r="AH485" s="1044"/>
      <c r="AI485" s="1044"/>
      <c r="AJ485" s="1044"/>
      <c r="AK485" s="1044"/>
      <c r="AL485" s="1044">
        <v>35.200000000000003</v>
      </c>
      <c r="AM485" s="1068">
        <v>1848</v>
      </c>
      <c r="AN485" s="208">
        <f t="shared" si="717"/>
        <v>30.240000000000002</v>
      </c>
      <c r="AO485" s="208">
        <f t="shared" si="718"/>
        <v>46.726190476190474</v>
      </c>
      <c r="AP485" s="1068">
        <v>897</v>
      </c>
      <c r="AQ485" s="76">
        <f t="shared" si="730"/>
        <v>53588.025000000001</v>
      </c>
      <c r="AR485" s="76">
        <f t="shared" si="731"/>
        <v>543.12187499999709</v>
      </c>
      <c r="AS485" s="230">
        <f t="shared" si="732"/>
        <v>22.63007812499988</v>
      </c>
      <c r="AT485" s="208">
        <f t="shared" si="726"/>
        <v>432.81666324714246</v>
      </c>
      <c r="AU485" s="1058"/>
      <c r="AV485" s="230">
        <f t="shared" si="727"/>
        <v>334.26430902576811</v>
      </c>
      <c r="AW485" s="855">
        <f t="shared" si="686"/>
        <v>0.38437499999999791</v>
      </c>
      <c r="AX485" s="1044"/>
      <c r="AY485" s="1044"/>
      <c r="AZ485" s="1044"/>
      <c r="BA485" s="1044"/>
      <c r="BB485" s="1044"/>
      <c r="BC485" s="1044" t="s">
        <v>178</v>
      </c>
      <c r="BD485" s="1044"/>
      <c r="BE485" s="1044"/>
      <c r="BF485" s="1044"/>
      <c r="BG485" s="1044"/>
      <c r="BH485" s="1044"/>
      <c r="BI485" s="1044"/>
      <c r="BJ485" s="1044"/>
      <c r="BK485" s="1044"/>
      <c r="BL485" s="1044"/>
      <c r="BM485" s="1044"/>
      <c r="BN485" s="1044"/>
      <c r="BO485" s="1044"/>
      <c r="BP485" s="1044"/>
      <c r="BQ485" s="1044"/>
      <c r="BR485" s="1044"/>
      <c r="BS485" s="1044"/>
      <c r="BT485" s="1044"/>
      <c r="BU485" s="1044"/>
      <c r="BV485" s="1044"/>
      <c r="BW485" s="1044">
        <v>50.4</v>
      </c>
      <c r="BX485" s="1044">
        <v>1096</v>
      </c>
      <c r="BY485" s="1054">
        <f t="shared" si="733"/>
        <v>54</v>
      </c>
      <c r="BZ485" s="1054">
        <f t="shared" si="734"/>
        <v>13.814814814814815</v>
      </c>
      <c r="CA485" s="1044">
        <v>513</v>
      </c>
      <c r="CB485" s="1047">
        <f t="shared" si="667"/>
        <v>50795.878125000003</v>
      </c>
      <c r="CC485" s="208">
        <f t="shared" si="735"/>
        <v>613.28125</v>
      </c>
      <c r="CD485" s="208">
        <f t="shared" si="736"/>
        <v>25.553385416666668</v>
      </c>
      <c r="CE485" s="230">
        <f t="shared" si="728"/>
        <v>576.92521760112891</v>
      </c>
      <c r="CF485" s="1058"/>
      <c r="CG485" s="208">
        <f>CC485/(AVERAGE(BY485,BY486)*AVERAGE((D$458,D$456,D$437,D$451,D$443,D$444,D$449,D$465,D$470,D$463))*0.01)</f>
        <v>445.55934555335182</v>
      </c>
      <c r="CH485" s="855">
        <f t="shared" si="725"/>
        <v>0.82209282841823061</v>
      </c>
      <c r="CI485" s="1044"/>
      <c r="CJ485" s="1044"/>
      <c r="CK485" s="1044"/>
      <c r="CL485" s="1044"/>
      <c r="CM485" s="1044"/>
      <c r="CN485" s="1044" t="s">
        <v>178</v>
      </c>
    </row>
    <row r="486" spans="1:92" s="337" customFormat="1">
      <c r="A486" s="1036">
        <f t="shared" si="716"/>
        <v>41641</v>
      </c>
      <c r="B486" s="1037">
        <v>0.33333333333333398</v>
      </c>
      <c r="C486" s="847">
        <f t="shared" si="729"/>
        <v>24</v>
      </c>
      <c r="D486" s="1046">
        <v>2.57</v>
      </c>
      <c r="E486" s="1046">
        <v>77.31</v>
      </c>
      <c r="F486" s="1023"/>
      <c r="G486" s="1046">
        <v>5.95</v>
      </c>
      <c r="H486" s="1023"/>
      <c r="I486" s="1023"/>
      <c r="J486" s="1023"/>
      <c r="K486" s="1023"/>
      <c r="L486" s="1023"/>
      <c r="M486" s="1023">
        <v>55</v>
      </c>
      <c r="N486" s="1023">
        <v>85</v>
      </c>
      <c r="O486" s="1023"/>
      <c r="P486" s="1023"/>
      <c r="Q486" s="1023"/>
      <c r="R486" s="1023"/>
      <c r="S486" s="1023"/>
      <c r="T486" s="1023"/>
      <c r="U486" s="1023"/>
      <c r="V486" s="1046">
        <v>2</v>
      </c>
      <c r="W486" s="1046">
        <v>66.819999999999993</v>
      </c>
      <c r="X486" s="1023"/>
      <c r="Y486" s="1023"/>
      <c r="Z486" s="1023"/>
      <c r="AA486" s="1023"/>
      <c r="AB486" s="1023"/>
      <c r="AC486" s="1023"/>
      <c r="AD486" s="1021">
        <f>D470*(100-E470)/(100-W486)</f>
        <v>1.6960216998191677</v>
      </c>
      <c r="AE486" s="1055">
        <f>D470-V486</f>
        <v>0.49000000000000021</v>
      </c>
      <c r="AF486" s="847">
        <f>100*(AVERAGE(D$458,D$456,D$486,D$451,D$443,D$444,D$449,D$465,D$470,D$463)-V486)/AVERAGE(D$458,D$456,D$486,D$451,D$443,D$444,D$449,D$465,D$470,D$463)</f>
        <v>35.233160621761662</v>
      </c>
      <c r="AG486" s="847">
        <f>100*(1-((100-AVERAGE(E$458,E$456,E$486,E$451,E$443,E$444,E$449,E$465,E$470,E$463))/(100-W486)))</f>
        <v>31.588306208559391</v>
      </c>
      <c r="AH486" s="1055">
        <f>E470-W486</f>
        <v>10.580000000000013</v>
      </c>
      <c r="AI486" s="847">
        <f>100*(1-((V486*W486)/(AVERAGE(D$458,D$456,D$486,D$451,D$443,D$444,D$449,D$465,D$470,D$463)*AVERAGE(E$458,E$456,E$486,E$451,E$443,E$444,E$449,E$465,E$470,E$463))))</f>
        <v>44.014693118408744</v>
      </c>
      <c r="AJ486" s="847">
        <f>100*100*((AVERAGE(E$458,E$456,E$486,E$451,E$443,E$444,E$449,E$465,E$470,E$463)-W486)/((100-W486)*AVERAGE(E$458,E$456,E$486,E$451,E$443,E$444,E$449,E$465,E$470,E$463)))</f>
        <v>40.864033076621766</v>
      </c>
      <c r="AK486" s="1046">
        <v>7.03</v>
      </c>
      <c r="AL486" s="1046">
        <v>33.6</v>
      </c>
      <c r="AM486" s="1071">
        <v>1881</v>
      </c>
      <c r="AN486" s="334">
        <f t="shared" si="717"/>
        <v>71.28</v>
      </c>
      <c r="AO486" s="334">
        <f t="shared" si="718"/>
        <v>19.823232323232322</v>
      </c>
      <c r="AP486" s="1071">
        <v>908</v>
      </c>
      <c r="AQ486" s="348">
        <f t="shared" si="730"/>
        <v>54251.840625000004</v>
      </c>
      <c r="AR486" s="348">
        <f t="shared" si="731"/>
        <v>663.81562500000291</v>
      </c>
      <c r="AS486" s="512">
        <f t="shared" si="732"/>
        <v>27.65898437500012</v>
      </c>
      <c r="AT486" s="334">
        <f>AR486/(AVERAGE(AN486,AN487)*(AVERAGE(D$458,D$456,D$486,D$451,D$443,D$444,D$449,D$465,D$470,D$463))*AVERAGE(E$458,E$456,E$486,E$451,E$443,E$444,E$449,E$465,E$470,E$463)*0.0001)</f>
        <v>429.15093292857512</v>
      </c>
      <c r="AU486" s="334">
        <f>(AQ486-AQ480)/(AVERAGE(AN480:AN486)*((AVERAGE(D$458,D$456,D$486,D$451,D$443,D$444,D$449,D$465,D$470,D$463)*AVERAGE(E$458,E$456,E$486,E$451,E$443,E$444,E$449,E$465,E$470,E$463))-(V486*W486))*0.0001*(SUM(C480:C486)/24))</f>
        <v>1002.8750784825705</v>
      </c>
      <c r="AV486" s="512">
        <f>AR486/(AVERAGE(AN487,AN486)*AVERAGE(D$458,D$456,D$486,D$451,D$443,D$444,D$449,D$465,D$470,D$463)*0.01)</f>
        <v>331.73796266311786</v>
      </c>
      <c r="AW486" s="848">
        <f t="shared" si="686"/>
        <v>0.46979166666666872</v>
      </c>
      <c r="AX486" s="1023">
        <v>67.400000000000006</v>
      </c>
      <c r="AY486" s="1023">
        <v>31.1</v>
      </c>
      <c r="AZ486" s="1023">
        <v>0</v>
      </c>
      <c r="BA486" s="1023">
        <v>0</v>
      </c>
      <c r="BB486" s="1023">
        <v>115</v>
      </c>
      <c r="BC486" s="1023"/>
      <c r="BD486" s="1023"/>
      <c r="BE486" s="1023"/>
      <c r="BF486" s="1023"/>
      <c r="BG486" s="1046">
        <v>2.16</v>
      </c>
      <c r="BH486" s="1046">
        <v>66.92</v>
      </c>
      <c r="BI486" s="1023"/>
      <c r="BJ486" s="1023"/>
      <c r="BK486" s="1023"/>
      <c r="BL486" s="1023"/>
      <c r="BM486" s="1023"/>
      <c r="BN486" s="1023"/>
      <c r="BO486" s="847">
        <f>D470*(100-E470)/(100-BH486)</f>
        <v>1.7011487303506649</v>
      </c>
      <c r="BP486" s="1055">
        <f>D470-BG486</f>
        <v>0.33000000000000007</v>
      </c>
      <c r="BQ486" s="1056">
        <f>100*(AVERAGE(D$458,D$456,D$486,D$451,D$443,D$444,D$449,D$465,D$470,D$463)-BG486)/AVERAGE(D$458,D$456,D$486,D$451,D$443,D$444,D$449,D$465,D$470,D$463)</f>
        <v>30.051813471502587</v>
      </c>
      <c r="BR486" s="1056">
        <f>100*(1-((100-AVERAGE(E$458,E$456,E$486,E$451,E$443,E$444,E$449,E$465,E$470,E$463))/(100-BH486)))</f>
        <v>31.381499395405076</v>
      </c>
      <c r="BS486" s="1055">
        <f>E470-BH486</f>
        <v>10.480000000000004</v>
      </c>
      <c r="BT486" s="1055">
        <f>100*(1-((BG486*BH486)/(AVERAGE(D$458,D$456,D$486,D$451,D$443,D$444,D$449,D$465,D$470,D$463)*AVERAGE(E$458,E$456,E$486,E$451,E$443,E$444,E$449,E$465,E$470,E$463))))</f>
        <v>39.445380493304782</v>
      </c>
      <c r="BU486" s="847">
        <f>100*100*((AVERAGE(E$458,E$456,E$486,E$451,E$443,E$444,E$449,E$465,E$470,E$463)-BH486)/((100-BH486)*AVERAGE(E$458,E$456,E$486,E$451,E$443,E$444,E$449,E$465,E$470,E$463)))</f>
        <v>40.596498616324602</v>
      </c>
      <c r="BV486" s="1046">
        <v>7.14</v>
      </c>
      <c r="BW486" s="1046">
        <v>47.1</v>
      </c>
      <c r="BX486" s="1023">
        <v>1112</v>
      </c>
      <c r="BY486" s="1056">
        <f t="shared" si="733"/>
        <v>32</v>
      </c>
      <c r="BZ486" s="1056">
        <f t="shared" si="734"/>
        <v>23.3125</v>
      </c>
      <c r="CA486" s="1023">
        <v>521</v>
      </c>
      <c r="CB486" s="1057">
        <f t="shared" si="667"/>
        <v>51286.503125000003</v>
      </c>
      <c r="CC486" s="334">
        <f t="shared" si="735"/>
        <v>490.625</v>
      </c>
      <c r="CD486" s="334">
        <f t="shared" si="736"/>
        <v>20.442708333333332</v>
      </c>
      <c r="CE486" s="512">
        <f>CC486/(AVERAGE(BY487,BY486)*(AVERAGE(D$458,D$456,D$486,D$451,D$443,D$444,D$449,D$465,D$470,D$463))*AVERAGE(E$458,E$456,E$486,E$451,E$443,E$444,E$449,E$465,E$470,E$463)*0.0001)</f>
        <v>734.05607786325493</v>
      </c>
      <c r="CF486" s="334">
        <f>(CB486-CB480)/(AVERAGE(BY480:BY486)*((AVERAGE(D$458,D$456,D$486,D$451,D$443,D$444,D$449,D$465,D$470,D$463)*AVERAGE(E$458,E$456,E$486,E$451,E$443,E$444,E$449,E$465,E$470,E$463))-(BG486*BH486))*0.0001*(SUM(C480:C486)/24))</f>
        <v>1320.2636701709348</v>
      </c>
      <c r="CG486" s="334">
        <f>CC486/(AVERAGE(BY486,BY487)*AVERAGE((D$458,D$456,D$486,D$451,D$443,D$444,D$449,D$465,D$470,D$463))*0.01)</f>
        <v>567.43268874907483</v>
      </c>
      <c r="CH486" s="848">
        <f t="shared" si="725"/>
        <v>0.6576742627345844</v>
      </c>
      <c r="CI486" s="1023">
        <v>66.2</v>
      </c>
      <c r="CJ486" s="1023">
        <v>33.200000000000003</v>
      </c>
      <c r="CK486" s="1023">
        <v>0</v>
      </c>
      <c r="CL486" s="1023">
        <v>20</v>
      </c>
      <c r="CM486" s="1023">
        <v>330</v>
      </c>
      <c r="CN486" s="1023"/>
    </row>
    <row r="487" spans="1:92">
      <c r="A487" s="1034">
        <f t="shared" si="716"/>
        <v>41642</v>
      </c>
      <c r="B487" s="1035">
        <v>0.33333333333333398</v>
      </c>
      <c r="C487" s="854">
        <f t="shared" si="729"/>
        <v>24</v>
      </c>
      <c r="D487" s="1044"/>
      <c r="E487" s="1044"/>
      <c r="F487" s="1044"/>
      <c r="G487" s="1044"/>
      <c r="H487" s="1044"/>
      <c r="I487" s="1044"/>
      <c r="J487" s="1044"/>
      <c r="K487" s="1044"/>
      <c r="L487" s="1044"/>
      <c r="M487" s="1044"/>
      <c r="N487" s="1044"/>
      <c r="O487" s="1044"/>
      <c r="P487" s="1044"/>
      <c r="Q487" s="1044"/>
      <c r="R487" s="1044"/>
      <c r="S487" s="1044"/>
      <c r="T487" s="1044"/>
      <c r="U487" s="1044"/>
      <c r="V487" s="1044"/>
      <c r="W487" s="1044"/>
      <c r="X487" s="1044"/>
      <c r="Y487" s="1044"/>
      <c r="Z487" s="1044"/>
      <c r="AA487" s="1044"/>
      <c r="AB487" s="1044"/>
      <c r="AC487" s="1044"/>
      <c r="AD487" s="1044"/>
      <c r="AE487" s="1044"/>
      <c r="AF487" s="1044"/>
      <c r="AG487" s="1044"/>
      <c r="AH487" s="1044"/>
      <c r="AI487" s="1044"/>
      <c r="AJ487" s="1044"/>
      <c r="AK487" s="1044"/>
      <c r="AL487" s="1044">
        <v>35</v>
      </c>
      <c r="AM487" s="1044">
        <v>1908</v>
      </c>
      <c r="AN487" s="208">
        <f t="shared" si="717"/>
        <v>58.320000000000007</v>
      </c>
      <c r="AO487" s="208">
        <f t="shared" si="718"/>
        <v>24.228395061728392</v>
      </c>
      <c r="AP487" s="1044">
        <v>922</v>
      </c>
      <c r="AQ487" s="76">
        <f t="shared" si="730"/>
        <v>55096.696875000001</v>
      </c>
      <c r="AR487" s="76">
        <f t="shared" ref="AR487:AR496" si="737">(AQ487-AQ486)/(C487/24)</f>
        <v>844.85624999999709</v>
      </c>
      <c r="AS487" s="230">
        <f t="shared" ref="AS487:AS496" si="738">(AQ487-AQ486)/C487</f>
        <v>35.202343749999876</v>
      </c>
      <c r="AT487" s="208">
        <f t="shared" ref="AT487:AT492" si="739">AR487/(AVERAGE(AN487,AN488)*(AVERAGE(D$458,D$456,D$486,D$451,D$443,D$444,D$449,D$465,D$470,D$463))*AVERAGE(E$458,E$456,E$486,E$451,E$443,E$444,E$449,E$465,E$470,E$463)*0.0001)</f>
        <v>655.43051574545495</v>
      </c>
      <c r="AU487" s="1058"/>
      <c r="AV487" s="230">
        <f t="shared" ref="AV487:AV492" si="740">AR487/(AVERAGE(AN488,AN487)*AVERAGE(D$458,D$456,D$486,D$451,D$443,D$444,D$449,D$465,D$470,D$463)*0.01)</f>
        <v>506.65434297639422</v>
      </c>
      <c r="AW487" s="855">
        <f t="shared" si="686"/>
        <v>0.59791666666666465</v>
      </c>
      <c r="AX487" s="1044"/>
      <c r="AY487" s="1044"/>
      <c r="AZ487" s="1044"/>
      <c r="BA487" s="1044"/>
      <c r="BB487" s="1044"/>
      <c r="BC487" s="1044"/>
      <c r="BD487" s="1044"/>
      <c r="BE487" s="1044"/>
      <c r="BF487" s="1044"/>
      <c r="BG487" s="1044"/>
      <c r="BH487" s="1044"/>
      <c r="BI487" s="1044"/>
      <c r="BJ487" s="1044"/>
      <c r="BK487" s="1044"/>
      <c r="BL487" s="1044"/>
      <c r="BM487" s="1044"/>
      <c r="BN487" s="1044"/>
      <c r="BO487" s="1044"/>
      <c r="BP487" s="1044"/>
      <c r="BQ487" s="1044"/>
      <c r="BR487" s="1044"/>
      <c r="BS487" s="1044"/>
      <c r="BT487" s="1044"/>
      <c r="BU487" s="1044"/>
      <c r="BV487" s="1044"/>
      <c r="BW487" s="1044">
        <v>50.6</v>
      </c>
      <c r="BX487" s="1044">
        <v>1124</v>
      </c>
      <c r="BY487" s="1054">
        <f t="shared" si="733"/>
        <v>24</v>
      </c>
      <c r="BZ487" s="1054">
        <f t="shared" si="734"/>
        <v>31.083333333333332</v>
      </c>
      <c r="CA487" s="1044">
        <v>528</v>
      </c>
      <c r="CB487" s="1047">
        <f t="shared" si="667"/>
        <v>51715.8</v>
      </c>
      <c r="CC487" s="208">
        <f t="shared" si="735"/>
        <v>429.296875</v>
      </c>
      <c r="CD487" s="208">
        <f t="shared" si="736"/>
        <v>17.887369791666668</v>
      </c>
      <c r="CE487" s="230">
        <f t="shared" ref="CE487:CE492" si="741">CC487/(AVERAGE(BY488,BY487)*(AVERAGE(D$458,D$456,D$486,D$451,D$443,D$444,D$449,D$465,D$470,D$463))*AVERAGE(E$458,E$456,E$486,E$451,E$443,E$444,E$449,E$465,E$470,E$463)*0.0001)</f>
        <v>856.39875750713088</v>
      </c>
      <c r="CF487" s="1058"/>
      <c r="CG487" s="208">
        <f>CC487/(AVERAGE(BY487,BY488)*AVERAGE((D$458,D$456,D$486,D$451,D$443,D$444,D$449,D$465,D$470,D$463))*0.01)</f>
        <v>662.0048035405872</v>
      </c>
      <c r="CH487" s="855">
        <f t="shared" si="725"/>
        <v>0.57546497989276135</v>
      </c>
      <c r="CI487" s="1044"/>
      <c r="CJ487" s="1044"/>
      <c r="CK487" s="1044"/>
      <c r="CL487" s="1044"/>
      <c r="CM487" s="1044"/>
      <c r="CN487" s="1044"/>
    </row>
    <row r="488" spans="1:92">
      <c r="A488" s="1034">
        <f t="shared" si="716"/>
        <v>41643</v>
      </c>
      <c r="B488" s="1035">
        <v>0.33333333333333398</v>
      </c>
      <c r="C488" s="854">
        <f t="shared" si="729"/>
        <v>24</v>
      </c>
      <c r="D488" s="1044"/>
      <c r="E488" s="1044"/>
      <c r="F488" s="1044"/>
      <c r="G488" s="1044"/>
      <c r="H488" s="1044"/>
      <c r="I488" s="1044"/>
      <c r="J488" s="1044"/>
      <c r="K488" s="1044"/>
      <c r="L488" s="1044"/>
      <c r="M488" s="1044"/>
      <c r="N488" s="1044"/>
      <c r="O488" s="1044"/>
      <c r="P488" s="1044"/>
      <c r="Q488" s="1044"/>
      <c r="R488" s="1044"/>
      <c r="S488" s="1044"/>
      <c r="T488" s="1044"/>
      <c r="U488" s="1044"/>
      <c r="V488" s="1044"/>
      <c r="W488" s="1044"/>
      <c r="X488" s="1044"/>
      <c r="Y488" s="1044"/>
      <c r="Z488" s="1044"/>
      <c r="AA488" s="1044"/>
      <c r="AB488" s="1044"/>
      <c r="AC488" s="1044"/>
      <c r="AD488" s="1044"/>
      <c r="AE488" s="1044"/>
      <c r="AF488" s="1044"/>
      <c r="AG488" s="1044"/>
      <c r="AH488" s="1044"/>
      <c r="AI488" s="1044"/>
      <c r="AJ488" s="1044"/>
      <c r="AK488" s="1044"/>
      <c r="AL488" s="1044">
        <v>35.299999999999997</v>
      </c>
      <c r="AM488" s="1044">
        <v>1931</v>
      </c>
      <c r="AN488" s="208">
        <f t="shared" si="717"/>
        <v>49.680000000000007</v>
      </c>
      <c r="AO488" s="208">
        <f t="shared" si="718"/>
        <v>28.442028985507243</v>
      </c>
      <c r="AP488" s="1044">
        <v>935</v>
      </c>
      <c r="AQ488" s="76">
        <f>((AP488-AP$418)*AQ$2)</f>
        <v>55881.206250000003</v>
      </c>
      <c r="AR488" s="76">
        <f t="shared" si="737"/>
        <v>784.50937500000146</v>
      </c>
      <c r="AS488" s="230">
        <f t="shared" si="738"/>
        <v>32.687890625000058</v>
      </c>
      <c r="AT488" s="208">
        <f t="shared" si="739"/>
        <v>724.54053611317704</v>
      </c>
      <c r="AU488" s="1058"/>
      <c r="AV488" s="230">
        <f t="shared" si="740"/>
        <v>560.07707982084696</v>
      </c>
      <c r="AW488" s="855">
        <f t="shared" si="686"/>
        <v>0.55520833333333441</v>
      </c>
      <c r="AX488" s="1044"/>
      <c r="AY488" s="1044"/>
      <c r="AZ488" s="1044"/>
      <c r="BA488" s="1044"/>
      <c r="BB488" s="1044"/>
      <c r="BC488" s="1044"/>
      <c r="BD488" s="1044"/>
      <c r="BE488" s="1044"/>
      <c r="BF488" s="1044"/>
      <c r="BG488" s="1044"/>
      <c r="BH488" s="1044"/>
      <c r="BI488" s="1044"/>
      <c r="BJ488" s="1044"/>
      <c r="BK488" s="1044"/>
      <c r="BL488" s="1044"/>
      <c r="BM488" s="1044"/>
      <c r="BN488" s="1044"/>
      <c r="BO488" s="1044"/>
      <c r="BP488" s="1044"/>
      <c r="BQ488" s="1044"/>
      <c r="BR488" s="1044"/>
      <c r="BS488" s="1044"/>
      <c r="BT488" s="1044"/>
      <c r="BU488" s="1044"/>
      <c r="BV488" s="1044"/>
      <c r="BW488" s="1044">
        <v>50.6</v>
      </c>
      <c r="BX488" s="1044">
        <v>1133</v>
      </c>
      <c r="BY488" s="1054">
        <f t="shared" si="733"/>
        <v>18</v>
      </c>
      <c r="BZ488" s="1054">
        <f t="shared" si="734"/>
        <v>41.444444444444443</v>
      </c>
      <c r="CA488" s="1044">
        <v>534</v>
      </c>
      <c r="CB488" s="1047">
        <f t="shared" si="667"/>
        <v>52083.768750000003</v>
      </c>
      <c r="CC488" s="208">
        <f t="shared" si="735"/>
        <v>367.96875</v>
      </c>
      <c r="CD488" s="208">
        <f t="shared" si="736"/>
        <v>15.33203125</v>
      </c>
      <c r="CE488" s="230">
        <f t="shared" si="741"/>
        <v>440.43364671795297</v>
      </c>
      <c r="CF488" s="1058"/>
      <c r="CG488" s="208">
        <f>CC488/(AVERAGE(BY488,BY489)*AVERAGE((D$458,D$456,D$486,D$451,D$443,D$444,D$449,D$465,D$470,D$463))*0.01)</f>
        <v>340.45961324944489</v>
      </c>
      <c r="CH488" s="855">
        <f t="shared" si="725"/>
        <v>0.49325569705093836</v>
      </c>
      <c r="CI488" s="1044"/>
      <c r="CJ488" s="1044"/>
      <c r="CK488" s="1044"/>
      <c r="CL488" s="1044"/>
      <c r="CM488" s="1044"/>
      <c r="CN488" s="1044"/>
    </row>
    <row r="489" spans="1:92">
      <c r="A489" s="1034">
        <f t="shared" si="716"/>
        <v>41644</v>
      </c>
      <c r="B489" s="1035">
        <v>0.33333333333333398</v>
      </c>
      <c r="C489" s="854">
        <f t="shared" si="729"/>
        <v>24</v>
      </c>
      <c r="D489" s="1044"/>
      <c r="E489" s="1044"/>
      <c r="F489" s="1044"/>
      <c r="G489" s="1044"/>
      <c r="H489" s="1044"/>
      <c r="I489" s="1044"/>
      <c r="J489" s="1044"/>
      <c r="K489" s="1044"/>
      <c r="L489" s="1044"/>
      <c r="M489" s="1044"/>
      <c r="N489" s="1044"/>
      <c r="O489" s="1044"/>
      <c r="P489" s="1044"/>
      <c r="Q489" s="1044"/>
      <c r="R489" s="1044"/>
      <c r="S489" s="1044"/>
      <c r="T489" s="1044"/>
      <c r="U489" s="1044"/>
      <c r="V489" s="1044"/>
      <c r="W489" s="1044"/>
      <c r="X489" s="1044"/>
      <c r="Y489" s="1044"/>
      <c r="Z489" s="1044"/>
      <c r="AA489" s="1044"/>
      <c r="AB489" s="1044"/>
      <c r="AC489" s="1044"/>
      <c r="AD489" s="1044"/>
      <c r="AE489" s="1044"/>
      <c r="AF489" s="1044"/>
      <c r="AG489" s="1044"/>
      <c r="AH489" s="1044"/>
      <c r="AI489" s="1044"/>
      <c r="AJ489" s="1044"/>
      <c r="AK489" s="1044"/>
      <c r="AL489" s="1044">
        <v>35.5</v>
      </c>
      <c r="AM489" s="1044">
        <v>19</v>
      </c>
      <c r="AN489" s="208">
        <f>(AM489)*AQ$1/((C488)/24)</f>
        <v>41.040000000000006</v>
      </c>
      <c r="AO489" s="208">
        <f t="shared" si="718"/>
        <v>34.429824561403507</v>
      </c>
      <c r="AP489" s="1044">
        <v>11</v>
      </c>
      <c r="AQ489" s="1068"/>
      <c r="AR489" s="76"/>
      <c r="AS489" s="230"/>
      <c r="AT489" s="208">
        <f t="shared" si="739"/>
        <v>0</v>
      </c>
      <c r="AU489" s="1058"/>
      <c r="AV489" s="230">
        <f t="shared" si="740"/>
        <v>0</v>
      </c>
      <c r="AW489" s="855">
        <f t="shared" si="686"/>
        <v>0</v>
      </c>
      <c r="AX489" s="1044"/>
      <c r="AY489" s="1044"/>
      <c r="AZ489" s="1044"/>
      <c r="BA489" s="1044"/>
      <c r="BB489" s="1044"/>
      <c r="BC489" s="1044" t="s">
        <v>179</v>
      </c>
      <c r="BD489" s="1044"/>
      <c r="BE489" s="1044"/>
      <c r="BF489" s="1044"/>
      <c r="BG489" s="1044"/>
      <c r="BH489" s="1044"/>
      <c r="BI489" s="1044"/>
      <c r="BJ489" s="1044"/>
      <c r="BK489" s="1044"/>
      <c r="BL489" s="1044"/>
      <c r="BM489" s="1044"/>
      <c r="BN489" s="1044"/>
      <c r="BO489" s="1044"/>
      <c r="BP489" s="1044"/>
      <c r="BQ489" s="1044"/>
      <c r="BR489" s="1044"/>
      <c r="BS489" s="1044"/>
      <c r="BT489" s="1044"/>
      <c r="BU489" s="1044"/>
      <c r="BV489" s="1044"/>
      <c r="BW489" s="1044">
        <v>50.4</v>
      </c>
      <c r="BX489" s="1044">
        <v>26</v>
      </c>
      <c r="BY489" s="1054">
        <f>(BX489)*CB$1/((C489)/24)</f>
        <v>52</v>
      </c>
      <c r="BZ489" s="1054">
        <f t="shared" si="734"/>
        <v>14.346153846153847</v>
      </c>
      <c r="CA489" s="1042">
        <v>9</v>
      </c>
      <c r="CB489" s="1076"/>
      <c r="CC489" s="885"/>
      <c r="CD489" s="885"/>
      <c r="CE489" s="230">
        <f t="shared" si="741"/>
        <v>0</v>
      </c>
      <c r="CF489" s="1058"/>
      <c r="CG489" s="208">
        <f>CC489/(AVERAGE(BY489,BY490)*AVERAGE((D$458,D$456,D$486,D$451,D$443,D$444,D$449,D$465,D$470,D$463))*0.01)</f>
        <v>0</v>
      </c>
      <c r="CH489" s="855">
        <f t="shared" si="725"/>
        <v>0</v>
      </c>
      <c r="CI489" s="1044"/>
      <c r="CJ489" s="1044"/>
      <c r="CK489" s="1044"/>
      <c r="CL489" s="1044"/>
      <c r="CM489" s="1044"/>
      <c r="CN489" s="1044"/>
    </row>
    <row r="490" spans="1:92">
      <c r="A490" s="1034">
        <f t="shared" si="716"/>
        <v>41645</v>
      </c>
      <c r="B490" s="1035">
        <v>0.33333333333333398</v>
      </c>
      <c r="C490" s="854">
        <f t="shared" ref="C490:C553" si="742">((A490-A489)+(B490-B489))*24</f>
        <v>24</v>
      </c>
      <c r="D490" s="1044"/>
      <c r="E490" s="1044"/>
      <c r="F490" s="1044"/>
      <c r="G490" s="1044"/>
      <c r="H490" s="1044"/>
      <c r="I490" s="1044"/>
      <c r="J490" s="1044"/>
      <c r="K490" s="1044"/>
      <c r="L490" s="1044"/>
      <c r="M490" s="1044"/>
      <c r="N490" s="1044"/>
      <c r="O490" s="1044"/>
      <c r="P490" s="1044"/>
      <c r="Q490" s="1044"/>
      <c r="R490" s="1044"/>
      <c r="S490" s="1044"/>
      <c r="T490" s="1044"/>
      <c r="U490" s="1044"/>
      <c r="V490" s="1044"/>
      <c r="W490" s="1044"/>
      <c r="X490" s="1044"/>
      <c r="Y490" s="1044"/>
      <c r="Z490" s="1044"/>
      <c r="AA490" s="1044"/>
      <c r="AB490" s="1044"/>
      <c r="AC490" s="1044"/>
      <c r="AD490" s="1044"/>
      <c r="AE490" s="1044"/>
      <c r="AF490" s="1044"/>
      <c r="AG490" s="1044"/>
      <c r="AH490" s="1044"/>
      <c r="AI490" s="1044"/>
      <c r="AJ490" s="1044"/>
      <c r="AK490" s="1044"/>
      <c r="AL490" s="1044">
        <v>35.6</v>
      </c>
      <c r="AM490" s="1044">
        <v>45</v>
      </c>
      <c r="AN490" s="208">
        <f t="shared" si="717"/>
        <v>56.160000000000004</v>
      </c>
      <c r="AO490" s="208">
        <f t="shared" si="718"/>
        <v>25.160256410256409</v>
      </c>
      <c r="AP490" s="1044">
        <v>21</v>
      </c>
      <c r="AQ490" s="1068">
        <f>((AP490-AP$489)*AQ$2)</f>
        <v>603.46875</v>
      </c>
      <c r="AR490" s="76">
        <f t="shared" si="737"/>
        <v>603.46875</v>
      </c>
      <c r="AS490" s="230">
        <f t="shared" si="738"/>
        <v>25.14453125</v>
      </c>
      <c r="AT490" s="208">
        <f t="shared" si="739"/>
        <v>418.00415544990904</v>
      </c>
      <c r="AU490" s="1058"/>
      <c r="AV490" s="230">
        <f t="shared" si="740"/>
        <v>323.1213922043342</v>
      </c>
      <c r="AW490" s="855">
        <f t="shared" si="686"/>
        <v>0.42708333333333331</v>
      </c>
      <c r="AX490" s="1044"/>
      <c r="AY490" s="1044"/>
      <c r="AZ490" s="1044"/>
      <c r="BA490" s="1044"/>
      <c r="BB490" s="1044"/>
      <c r="BC490" s="1044"/>
      <c r="BD490" s="1044"/>
      <c r="BE490" s="1044"/>
      <c r="BF490" s="1044"/>
      <c r="BG490" s="1044"/>
      <c r="BH490" s="1044"/>
      <c r="BI490" s="1044"/>
      <c r="BJ490" s="1044"/>
      <c r="BK490" s="1044"/>
      <c r="BL490" s="1044"/>
      <c r="BM490" s="1044"/>
      <c r="BN490" s="1044"/>
      <c r="BO490" s="1044"/>
      <c r="BP490" s="1044"/>
      <c r="BQ490" s="1044"/>
      <c r="BR490" s="1044"/>
      <c r="BS490" s="1044"/>
      <c r="BT490" s="1044"/>
      <c r="BU490" s="1044"/>
      <c r="BV490" s="1044"/>
      <c r="BW490" s="1044">
        <v>50.5</v>
      </c>
      <c r="BX490" s="1044">
        <v>41</v>
      </c>
      <c r="BY490" s="1054">
        <f t="shared" si="733"/>
        <v>30</v>
      </c>
      <c r="BZ490" s="1054">
        <f t="shared" si="734"/>
        <v>24.866666666666667</v>
      </c>
      <c r="CA490" s="1044">
        <v>15</v>
      </c>
      <c r="CB490" s="1068">
        <f>((CA490-CA$489)*CB$2)</f>
        <v>367.96875</v>
      </c>
      <c r="CC490" s="208">
        <f t="shared" si="735"/>
        <v>367.96875</v>
      </c>
      <c r="CD490" s="208">
        <f t="shared" si="736"/>
        <v>15.33203125</v>
      </c>
      <c r="CE490" s="230">
        <f t="shared" si="741"/>
        <v>481.72430109776104</v>
      </c>
      <c r="CF490" s="1058"/>
      <c r="CG490" s="208">
        <f>CC490/(AVERAGE(BY490,BY491)*AVERAGE((D$458,D$456,D$486,D$451,D$443,D$444,D$449,D$465,D$470,D$463))*0.01)</f>
        <v>372.3777019915803</v>
      </c>
      <c r="CH490" s="855">
        <f t="shared" si="725"/>
        <v>0.49325569705093836</v>
      </c>
      <c r="CI490" s="1044"/>
      <c r="CJ490" s="1044"/>
      <c r="CK490" s="1044"/>
      <c r="CL490" s="1044"/>
      <c r="CM490" s="1044"/>
      <c r="CN490" s="1044"/>
    </row>
    <row r="491" spans="1:92">
      <c r="A491" s="1034">
        <f t="shared" si="716"/>
        <v>41646</v>
      </c>
      <c r="B491" s="1035">
        <v>0.33333333333333398</v>
      </c>
      <c r="C491" s="854">
        <f t="shared" si="742"/>
        <v>24</v>
      </c>
      <c r="D491" s="1044"/>
      <c r="E491" s="1044"/>
      <c r="F491" s="1044"/>
      <c r="G491" s="1044"/>
      <c r="H491" s="1044"/>
      <c r="I491" s="1044"/>
      <c r="J491" s="1044"/>
      <c r="K491" s="1044"/>
      <c r="L491" s="1044"/>
      <c r="M491" s="1044"/>
      <c r="N491" s="1044"/>
      <c r="O491" s="1044"/>
      <c r="P491" s="1044"/>
      <c r="Q491" s="1044"/>
      <c r="R491" s="1044"/>
      <c r="S491" s="1044"/>
      <c r="T491" s="1044"/>
      <c r="U491" s="1044"/>
      <c r="V491" s="1044"/>
      <c r="W491" s="1044"/>
      <c r="X491" s="1044"/>
      <c r="Y491" s="1044"/>
      <c r="Z491" s="1044"/>
      <c r="AA491" s="1044"/>
      <c r="AB491" s="1044"/>
      <c r="AC491" s="1044"/>
      <c r="AD491" s="1044"/>
      <c r="AE491" s="1044"/>
      <c r="AF491" s="1044"/>
      <c r="AG491" s="1044"/>
      <c r="AH491" s="1044"/>
      <c r="AI491" s="1044"/>
      <c r="AJ491" s="1044"/>
      <c r="AK491" s="1044"/>
      <c r="AL491" s="1044">
        <v>35.700000000000003</v>
      </c>
      <c r="AM491" s="1044">
        <v>75</v>
      </c>
      <c r="AN491" s="208">
        <f t="shared" si="717"/>
        <v>64.800000000000011</v>
      </c>
      <c r="AO491" s="208">
        <f t="shared" si="718"/>
        <v>21.80555555555555</v>
      </c>
      <c r="AP491" s="1044">
        <v>32</v>
      </c>
      <c r="AQ491" s="76">
        <f t="shared" ref="AQ491:AQ558" si="743">((AP491-AP$489)*AQ$2)</f>
        <v>1267.2843750000002</v>
      </c>
      <c r="AR491" s="76">
        <f t="shared" si="737"/>
        <v>663.81562500000018</v>
      </c>
      <c r="AS491" s="230">
        <f t="shared" si="738"/>
        <v>27.658984375000006</v>
      </c>
      <c r="AT491" s="208">
        <f t="shared" si="739"/>
        <v>443.94924096059316</v>
      </c>
      <c r="AU491" s="1058"/>
      <c r="AV491" s="230">
        <f t="shared" si="740"/>
        <v>343.1772027549481</v>
      </c>
      <c r="AW491" s="855">
        <f t="shared" si="686"/>
        <v>0.46979166666666677</v>
      </c>
      <c r="AX491" s="1044"/>
      <c r="AY491" s="1044"/>
      <c r="AZ491" s="1044"/>
      <c r="BA491" s="1044"/>
      <c r="BB491" s="1044"/>
      <c r="BC491" s="1044"/>
      <c r="BD491" s="1044"/>
      <c r="BE491" s="1044"/>
      <c r="BF491" s="1044"/>
      <c r="BG491" s="1044"/>
      <c r="BH491" s="1044"/>
      <c r="BI491" s="1044"/>
      <c r="BJ491" s="1044"/>
      <c r="BK491" s="1044"/>
      <c r="BL491" s="1044"/>
      <c r="BM491" s="1044"/>
      <c r="BN491" s="1044"/>
      <c r="BO491" s="1044"/>
      <c r="BP491" s="1044"/>
      <c r="BQ491" s="1044"/>
      <c r="BR491" s="1044"/>
      <c r="BS491" s="1044"/>
      <c r="BT491" s="1044"/>
      <c r="BU491" s="1044"/>
      <c r="BV491" s="1044"/>
      <c r="BW491" s="1044">
        <v>50.3</v>
      </c>
      <c r="BX491" s="1044">
        <v>58</v>
      </c>
      <c r="BY491" s="1054">
        <f t="shared" si="733"/>
        <v>34</v>
      </c>
      <c r="BZ491" s="1054">
        <f t="shared" si="734"/>
        <v>21.941176470588236</v>
      </c>
      <c r="CA491" s="1044">
        <v>22</v>
      </c>
      <c r="CB491" s="1068">
        <f t="shared" ref="CB491:CB567" si="744">((CA491-CA$489)*CB$2)</f>
        <v>797.265625</v>
      </c>
      <c r="CC491" s="208">
        <f t="shared" si="735"/>
        <v>429.296875</v>
      </c>
      <c r="CD491" s="208">
        <f t="shared" si="736"/>
        <v>17.887369791666668</v>
      </c>
      <c r="CE491" s="230">
        <f t="shared" si="741"/>
        <v>544.98102750453779</v>
      </c>
      <c r="CF491" s="1058"/>
      <c r="CG491" s="208">
        <f>CC491/(AVERAGE(BY491,BY492)*AVERAGE((D$458,D$456,D$486,D$451,D$443,D$444,D$449,D$465,D$470,D$463))*0.01)</f>
        <v>421.27578407128277</v>
      </c>
      <c r="CH491" s="855">
        <f t="shared" si="725"/>
        <v>0.57546497989276135</v>
      </c>
      <c r="CI491" s="1044"/>
      <c r="CJ491" s="1044"/>
      <c r="CK491" s="1044"/>
      <c r="CL491" s="1044"/>
      <c r="CM491" s="1044"/>
      <c r="CN491" s="1044"/>
    </row>
    <row r="492" spans="1:92">
      <c r="A492" s="1034">
        <f t="shared" si="716"/>
        <v>41647</v>
      </c>
      <c r="B492" s="1035">
        <v>0.33333333333333398</v>
      </c>
      <c r="C492" s="854">
        <f t="shared" si="742"/>
        <v>24</v>
      </c>
      <c r="D492" s="1044"/>
      <c r="E492" s="1044"/>
      <c r="F492" s="1044"/>
      <c r="G492" s="1044"/>
      <c r="H492" s="1044"/>
      <c r="I492" s="1044"/>
      <c r="J492" s="1044"/>
      <c r="K492" s="1044"/>
      <c r="L492" s="1044"/>
      <c r="M492" s="1044"/>
      <c r="N492" s="1044"/>
      <c r="O492" s="1044"/>
      <c r="P492" s="1044"/>
      <c r="Q492" s="1044"/>
      <c r="R492" s="1044"/>
      <c r="S492" s="1044"/>
      <c r="T492" s="1044"/>
      <c r="U492" s="1044"/>
      <c r="V492" s="1044"/>
      <c r="W492" s="1044"/>
      <c r="X492" s="1044"/>
      <c r="Y492" s="1044"/>
      <c r="Z492" s="1044"/>
      <c r="AA492" s="1044"/>
      <c r="AB492" s="1044"/>
      <c r="AC492" s="1044"/>
      <c r="AD492" s="1044"/>
      <c r="AE492" s="1044"/>
      <c r="AF492" s="1044"/>
      <c r="AG492" s="1044"/>
      <c r="AH492" s="1044"/>
      <c r="AI492" s="1044"/>
      <c r="AJ492" s="1044"/>
      <c r="AK492" s="1044"/>
      <c r="AL492" s="1044">
        <v>35.5</v>
      </c>
      <c r="AM492" s="1044">
        <v>103</v>
      </c>
      <c r="AN492" s="208">
        <f t="shared" si="717"/>
        <v>60.480000000000004</v>
      </c>
      <c r="AO492" s="208">
        <f t="shared" si="718"/>
        <v>23.363095238095237</v>
      </c>
      <c r="AP492" s="1044">
        <v>43</v>
      </c>
      <c r="AQ492" s="76">
        <f t="shared" si="743"/>
        <v>1931.1000000000001</v>
      </c>
      <c r="AR492" s="76">
        <f t="shared" si="737"/>
        <v>663.81562499999995</v>
      </c>
      <c r="AS492" s="230">
        <f t="shared" si="738"/>
        <v>27.658984374999999</v>
      </c>
      <c r="AT492" s="208">
        <f t="shared" si="739"/>
        <v>459.8045709948999</v>
      </c>
      <c r="AU492" s="1058"/>
      <c r="AV492" s="230">
        <f t="shared" si="740"/>
        <v>355.43353142476764</v>
      </c>
      <c r="AW492" s="855">
        <f t="shared" si="686"/>
        <v>0.46979166666666661</v>
      </c>
      <c r="AX492" s="1044"/>
      <c r="AY492" s="1044"/>
      <c r="AZ492" s="1044"/>
      <c r="BA492" s="1044"/>
      <c r="BB492" s="1044"/>
      <c r="BC492" s="1044"/>
      <c r="BD492" s="1044"/>
      <c r="BE492" s="1044"/>
      <c r="BF492" s="1044"/>
      <c r="BG492" s="1044"/>
      <c r="BH492" s="1044"/>
      <c r="BI492" s="1044"/>
      <c r="BJ492" s="1044"/>
      <c r="BK492" s="1044"/>
      <c r="BL492" s="1044"/>
      <c r="BM492" s="1044"/>
      <c r="BN492" s="1044"/>
      <c r="BO492" s="1044"/>
      <c r="BP492" s="1044"/>
      <c r="BQ492" s="1044"/>
      <c r="BR492" s="1044"/>
      <c r="BS492" s="1044"/>
      <c r="BT492" s="1044"/>
      <c r="BU492" s="1044"/>
      <c r="BV492" s="1044"/>
      <c r="BW492" s="1044">
        <v>50.5</v>
      </c>
      <c r="BX492" s="1044">
        <v>74</v>
      </c>
      <c r="BY492" s="1054">
        <f t="shared" si="733"/>
        <v>32</v>
      </c>
      <c r="BZ492" s="1054">
        <f t="shared" si="734"/>
        <v>23.3125</v>
      </c>
      <c r="CA492" s="1044">
        <v>28</v>
      </c>
      <c r="CB492" s="1068">
        <f t="shared" si="744"/>
        <v>1165.234375</v>
      </c>
      <c r="CC492" s="208">
        <f t="shared" si="735"/>
        <v>367.96875</v>
      </c>
      <c r="CD492" s="208">
        <f t="shared" si="736"/>
        <v>15.33203125</v>
      </c>
      <c r="CE492" s="230">
        <f t="shared" si="741"/>
        <v>481.72430109776104</v>
      </c>
      <c r="CF492" s="1058"/>
      <c r="CG492" s="208">
        <f>CC492/(AVERAGE(BY492,BY493)*AVERAGE((D$458,D$456,D$486,D$451,D$443,D$444,D$449,D$465,D$470,D$463))*0.01)</f>
        <v>372.3777019915803</v>
      </c>
      <c r="CH492" s="855">
        <f t="shared" si="725"/>
        <v>0.49325569705093836</v>
      </c>
      <c r="CI492" s="1044"/>
      <c r="CJ492" s="1044"/>
      <c r="CK492" s="1044"/>
      <c r="CL492" s="1044"/>
      <c r="CM492" s="1044"/>
      <c r="CN492" s="1044"/>
    </row>
    <row r="493" spans="1:92" s="337" customFormat="1">
      <c r="A493" s="1036">
        <f t="shared" si="716"/>
        <v>41648</v>
      </c>
      <c r="B493" s="1037">
        <v>0.33333333333333398</v>
      </c>
      <c r="C493" s="847">
        <f t="shared" si="742"/>
        <v>24</v>
      </c>
      <c r="D493" s="1023">
        <v>1.6</v>
      </c>
      <c r="E493" s="1023">
        <v>79.900000000000006</v>
      </c>
      <c r="F493" s="1023">
        <v>24500</v>
      </c>
      <c r="G493" s="1023"/>
      <c r="H493" s="1023">
        <v>31.7</v>
      </c>
      <c r="I493" s="1023">
        <v>3025</v>
      </c>
      <c r="J493" s="1023">
        <v>1633</v>
      </c>
      <c r="K493" s="1023">
        <v>18</v>
      </c>
      <c r="L493" s="1023">
        <v>177</v>
      </c>
      <c r="M493" s="1023"/>
      <c r="N493" s="1023"/>
      <c r="O493" s="1023"/>
      <c r="P493" s="1023"/>
      <c r="Q493" s="1023"/>
      <c r="R493" s="1023"/>
      <c r="S493" s="1023"/>
      <c r="T493" s="1023"/>
      <c r="U493" s="1023"/>
      <c r="V493" s="1023">
        <v>1.7</v>
      </c>
      <c r="W493" s="1023">
        <v>65.8</v>
      </c>
      <c r="X493" s="1023">
        <v>18000</v>
      </c>
      <c r="Y493" s="1023">
        <v>31.4</v>
      </c>
      <c r="Z493" s="1023">
        <v>1058</v>
      </c>
      <c r="AA493" s="1023">
        <v>293</v>
      </c>
      <c r="AB493" s="1023">
        <v>54</v>
      </c>
      <c r="AC493" s="1023">
        <v>175</v>
      </c>
      <c r="AD493" s="1021">
        <f>D486*(100-E486)/(100-W493)</f>
        <v>1.705067251461988</v>
      </c>
      <c r="AE493" s="1055">
        <f>D486-V493</f>
        <v>0.86999999999999988</v>
      </c>
      <c r="AF493" s="847">
        <f>100*(AVERAGE(D$458,D$456,D$486,D$451,D$493,D$444,D$449,D$465,D$470,D$463)-V493)/AVERAGE(D$458,D$456,D$486,D$451,D$493,D$444,D$449,D$465,D$470,D$463)</f>
        <v>41.9002050580998</v>
      </c>
      <c r="AG493" s="847">
        <f>100*(1-((100-AVERAGE(E$458,E$456,E$486,E$451,E$493,E$444,E$449,E$465,E$470,E$463))/(100-W493)))</f>
        <v>34.394736842105232</v>
      </c>
      <c r="AH493" s="1055">
        <f>E486-W493</f>
        <v>11.510000000000005</v>
      </c>
      <c r="AI493" s="847">
        <f>100*(1-((V493*W493)/(AVERAGE(D$458,D$456,D$486,D$451,D$493,D$444,D$449,D$465,D$470,D$463)*AVERAGE(E$458,E$456,E$486,E$451,E$493,E$444,E$449,E$465,E$470,E$463))))</f>
        <v>50.711466715095689</v>
      </c>
      <c r="AJ493" s="847">
        <f>100*100*((AVERAGE(E$458,E$456,E$486,E$451,E$493,E$444,E$449,E$465,E$470,E$463)-W493)/((100-W493)*AVERAGE(E$458,E$456,E$486,E$451,E$493,E$444,E$449,E$465,E$470,E$463)))</f>
        <v>44.344258012332219</v>
      </c>
      <c r="AK493" s="1023"/>
      <c r="AL493" s="1023">
        <v>35.5</v>
      </c>
      <c r="AM493" s="1023">
        <v>131</v>
      </c>
      <c r="AN493" s="334">
        <f t="shared" si="717"/>
        <v>60.480000000000004</v>
      </c>
      <c r="AO493" s="334">
        <f t="shared" si="718"/>
        <v>23.363095238095237</v>
      </c>
      <c r="AP493" s="1023">
        <v>55</v>
      </c>
      <c r="AQ493" s="348">
        <f t="shared" si="743"/>
        <v>2655.2625000000003</v>
      </c>
      <c r="AR493" s="348">
        <f t="shared" si="737"/>
        <v>724.16250000000014</v>
      </c>
      <c r="AS493" s="512">
        <f t="shared" si="738"/>
        <v>30.173437500000006</v>
      </c>
      <c r="AT493" s="334">
        <f>AR493/(AVERAGE(AN493,AN494)*(AVERAGE(D$458,D$456,D$486,D$451,D$493,D$444,D$449,D$465,D$470,D$463))*AVERAGE(E$458,E$456,E$486,E$451,E$493,E$444,E$449,E$465,E$470,E$463)*0.0001)</f>
        <v>537.18102842793405</v>
      </c>
      <c r="AU493" s="334">
        <f>(AQ493-AQ487)/(AVERAGE(AN487:AN493)*((AVERAGE(D$458,D$456,D$486,D$451,D$493,D$444,D$449,D$465,D$470,D$463)*AVERAGE(E$458,E$456,E$486,E$451,E$493,E$444,E$449,E$465,E$470,E$463))-(V493*W493))*0.0001*(SUM(C487:C493)/24))</f>
        <v>-11654.862224647597</v>
      </c>
      <c r="AV493" s="512">
        <f>AR493/(AVERAGE(AN494,AN493)*AVERAGE(D$458,D$456,D$486,D$451,D$493,D$444,D$449,D$465,D$470,D$463)*0.01)</f>
        <v>416.65372107955847</v>
      </c>
      <c r="AW493" s="848">
        <f t="shared" si="686"/>
        <v>0.51250000000000007</v>
      </c>
      <c r="AX493" s="1023"/>
      <c r="AY493" s="1023"/>
      <c r="AZ493" s="1023"/>
      <c r="BA493" s="1023"/>
      <c r="BB493" s="1023"/>
      <c r="BC493" s="1023"/>
      <c r="BD493" s="1023"/>
      <c r="BE493" s="1023"/>
      <c r="BF493" s="1023"/>
      <c r="BG493" s="1023">
        <v>1.7</v>
      </c>
      <c r="BH493" s="1023">
        <v>66</v>
      </c>
      <c r="BI493" s="1023">
        <v>15700</v>
      </c>
      <c r="BJ493" s="1023">
        <v>32.799999999999997</v>
      </c>
      <c r="BK493" s="1023">
        <v>2067</v>
      </c>
      <c r="BL493" s="1023">
        <v>434</v>
      </c>
      <c r="BM493" s="1023">
        <v>66</v>
      </c>
      <c r="BN493" s="1023">
        <v>137</v>
      </c>
      <c r="BO493" s="847">
        <f>D486*(100-E486)/(100-BH493)</f>
        <v>1.7150970588235293</v>
      </c>
      <c r="BP493" s="1055">
        <f>D486-BG493</f>
        <v>0.86999999999999988</v>
      </c>
      <c r="BQ493" s="1056">
        <f>100*(AVERAGE(D$458,D$456,D$486,D$451,D$493,D$444,D$449,D$465,D$470,D$463)-BG493)/AVERAGE(D$458,D$456,D$486,D$451,D$493,D$444,D$449,D$465,D$470,D$463)</f>
        <v>41.9002050580998</v>
      </c>
      <c r="BR493" s="1056">
        <f>100*(1-((100-AVERAGE(E$458,E$456,E$486,E$451,E$493,E$444,E$449,E$465,E$470,E$463))/(100-BH493)))</f>
        <v>34.008823529411728</v>
      </c>
      <c r="BS493" s="1055">
        <f>E486-BH493</f>
        <v>11.310000000000002</v>
      </c>
      <c r="BT493" s="1055">
        <f>100*(1-((BG493*BH493)/(AVERAGE(D$458,D$456,D$486,D$451,D$493,D$444,D$449,D$465,D$470,D$463)*AVERAGE(E$458,E$456,E$486,E$451,E$493,E$444,E$449,E$465,E$470,E$463))))</f>
        <v>50.561653544016934</v>
      </c>
      <c r="BU493" s="847">
        <f>100*100*((AVERAGE(E$458,E$456,E$486,E$451,E$493,E$444,E$449,E$465,E$470,E$463)-BH493)/((100-BH493)*AVERAGE(E$458,E$456,E$486,E$451,E$493,E$444,E$449,E$465,E$470,E$463)))</f>
        <v>43.846709809331422</v>
      </c>
      <c r="BV493" s="1023"/>
      <c r="BW493" s="1023">
        <v>50.3</v>
      </c>
      <c r="BX493" s="1023">
        <v>90</v>
      </c>
      <c r="BY493" s="1056">
        <f t="shared" si="733"/>
        <v>32</v>
      </c>
      <c r="BZ493" s="1056">
        <f t="shared" si="734"/>
        <v>23.3125</v>
      </c>
      <c r="CA493" s="1023">
        <v>35</v>
      </c>
      <c r="CB493" s="1071">
        <f t="shared" si="744"/>
        <v>1594.53125</v>
      </c>
      <c r="CC493" s="334">
        <f t="shared" si="735"/>
        <v>429.296875</v>
      </c>
      <c r="CD493" s="334">
        <f t="shared" si="736"/>
        <v>17.887369791666668</v>
      </c>
      <c r="CE493" s="512">
        <f>CC493/(AVERAGE(BY494,BY493)*(AVERAGE(D$458,D$456,D$486,D$451,D$493,D$444,D$449,D$465,D$470,D$463))*AVERAGE(E$458,E$456,E$486,E$451,E$493,E$444,E$449,E$465,E$470,E$463)*0.0001)</f>
        <v>591.1243214884372</v>
      </c>
      <c r="CF493" s="334">
        <f>(CB493-CB487)/(AVERAGE(BY487:BY493)*((AVERAGE(D$458,D$456,D$486,D$451,D$493,D$444,D$449,D$465,D$470,D$463)*AVERAGE(E$458,E$456,E$486,E$451,E$493,E$444,E$449,E$465,E$470,E$463))-(BG493*BH493))*0.0001*(SUM(C487:C493)/24))</f>
        <v>-19675.188091791508</v>
      </c>
      <c r="CG493" s="334">
        <f>CC493/(AVERAGE(BY493,BY494)*AVERAGE((D$458,D$456,D$486,D$451,D$493,D$444,D$449,D$465,D$470,D$463))*0.01)</f>
        <v>458.49375747607655</v>
      </c>
      <c r="CH493" s="848">
        <f t="shared" si="725"/>
        <v>0.57546497989276135</v>
      </c>
      <c r="CI493" s="1023"/>
      <c r="CJ493" s="1023"/>
      <c r="CK493" s="1023"/>
      <c r="CL493" s="1023"/>
      <c r="CM493" s="1023"/>
      <c r="CN493" s="1023"/>
    </row>
    <row r="494" spans="1:92" s="337" customFormat="1">
      <c r="A494" s="1036">
        <f t="shared" si="716"/>
        <v>41649</v>
      </c>
      <c r="B494" s="1037">
        <f>B493</f>
        <v>0.33333333333333398</v>
      </c>
      <c r="C494" s="847">
        <f t="shared" ref="C494" si="745">((A494-A493)+(B494-B493))*24</f>
        <v>24</v>
      </c>
      <c r="D494" s="1046">
        <v>2.1800000000000002</v>
      </c>
      <c r="E494" s="1046">
        <v>82.35</v>
      </c>
      <c r="F494" s="1023"/>
      <c r="G494" s="1023"/>
      <c r="H494" s="1023"/>
      <c r="I494" s="1023"/>
      <c r="J494" s="1023"/>
      <c r="K494" s="1023"/>
      <c r="L494" s="1023"/>
      <c r="M494" s="1023"/>
      <c r="N494" s="1023"/>
      <c r="O494" s="1023"/>
      <c r="P494" s="1023"/>
      <c r="Q494" s="1023"/>
      <c r="R494" s="1023"/>
      <c r="S494" s="1023"/>
      <c r="T494" s="1023"/>
      <c r="U494" s="1023"/>
      <c r="V494" s="1046">
        <v>1.56</v>
      </c>
      <c r="W494" s="1046">
        <v>62.63</v>
      </c>
      <c r="X494" s="1023"/>
      <c r="Y494" s="1023"/>
      <c r="Z494" s="1023"/>
      <c r="AA494" s="1023"/>
      <c r="AB494" s="1023"/>
      <c r="AC494" s="1023"/>
      <c r="AD494" s="1021">
        <f>D493*(100-E493)/(100-W494)</f>
        <v>0.86058335563286037</v>
      </c>
      <c r="AE494" s="1055">
        <f>D493-V494</f>
        <v>4.0000000000000036E-2</v>
      </c>
      <c r="AF494" s="847">
        <f>100*(AVERAGE(D$458,D$456,D$486,D$451,D$493,D$494,D$449,D$465,D$470,D$463)-V494)/AVERAGE(D$458,D$456,D$486,D$451,D$493,D$494,D$449,D$465,D$470,D$463)</f>
        <v>44.759206798866849</v>
      </c>
      <c r="AG494" s="847">
        <f>100*(1-((100-AVERAGE(E$458,E$456,E$486,E$451,E$493,E$494,E$449,E$465,E$470,E$463))/(100-W494)))</f>
        <v>41.578806529301545</v>
      </c>
      <c r="AH494" s="1055">
        <f>E493-W494</f>
        <v>17.270000000000003</v>
      </c>
      <c r="AI494" s="847">
        <f>100*(1-((V494*W494)/(AVERAGE(D$458,D$456,D$486,D$451,D$493,D$494,D$449,D$465,D$470,D$463)*AVERAGE(E$458,E$456,E$486,E$451,E$493,E$494,E$449,E$465,E$470,E$463))))</f>
        <v>55.739805570220938</v>
      </c>
      <c r="AJ494" s="847">
        <f>100*100*((AVERAGE(E$458,E$456,E$486,E$451,E$493,E$494,E$449,E$465,E$470,E$463)-W494)/((100-W494)*AVERAGE(E$458,E$456,E$486,E$451,E$493,E$494,E$449,E$465,E$470,E$463)))</f>
        <v>53.191595703230938</v>
      </c>
      <c r="AK494" s="1023"/>
      <c r="AL494" s="1023">
        <v>35.6</v>
      </c>
      <c r="AM494" s="1023">
        <v>158</v>
      </c>
      <c r="AN494" s="334">
        <f t="shared" ref="AN494" si="746">(AM494-AM493)*AQ$1/((C493)/24)</f>
        <v>58.320000000000007</v>
      </c>
      <c r="AO494" s="334">
        <f t="shared" ref="AO494" si="747">AQ$3/AN494</f>
        <v>24.228395061728392</v>
      </c>
      <c r="AP494" s="1023">
        <v>65</v>
      </c>
      <c r="AQ494" s="348">
        <f t="shared" si="743"/>
        <v>3258.7312500000003</v>
      </c>
      <c r="AR494" s="348">
        <f t="shared" si="737"/>
        <v>603.46875</v>
      </c>
      <c r="AS494" s="512">
        <f t="shared" ref="AS494" si="748">(AQ494-AQ493)/C494</f>
        <v>25.14453125</v>
      </c>
      <c r="AT494" s="334">
        <f>AR494/(AVERAGE(AN494,AN495)*(AVERAGE(D$458,D$456,D$486,D$451,D$493,D$494,D$449,D$465,D$470,D$463))*AVERAGE(E$458,E$456,E$486,E$451,E$493,E$494,E$449,E$465,E$470,E$463)*0.0001)</f>
        <v>444.08129594792518</v>
      </c>
      <c r="AU494" s="334">
        <f>(AQ494-AQ488)/(AVERAGE(AN488:AN494)*((AVERAGE(D$458,D$456,D$486,D$451,D$493,D$494,D$449,D$465,D$470,D$463)*AVERAGE(E$458,E$456,E$486,E$451,E$493,E$494,E$449,E$465,E$470,E$463))-(V494*W494))*0.0001*(SUM(C488:C494)/24))</f>
        <v>-10939.054909029257</v>
      </c>
      <c r="AV494" s="512">
        <f>AR494/(AVERAGE(AN495,AN494)*AVERAGE(D$458,D$456,D$486,D$451,D$493,D$494,D$449,D$465,D$470,D$463)*0.01)</f>
        <v>347.12946741657413</v>
      </c>
      <c r="AW494" s="848">
        <f t="shared" ref="AW494" si="749">AR494/AQ$3</f>
        <v>0.42708333333333331</v>
      </c>
      <c r="AX494" s="1023"/>
      <c r="AY494" s="1023"/>
      <c r="AZ494" s="1023"/>
      <c r="BA494" s="1023"/>
      <c r="BB494" s="1023"/>
      <c r="BC494" s="1023"/>
      <c r="BD494" s="1023"/>
      <c r="BE494" s="1023"/>
      <c r="BF494" s="1023"/>
      <c r="BG494" s="1046">
        <v>1.54</v>
      </c>
      <c r="BH494" s="1046">
        <v>61.21</v>
      </c>
      <c r="BI494" s="1023"/>
      <c r="BJ494" s="1023"/>
      <c r="BK494" s="1023"/>
      <c r="BL494" s="1023"/>
      <c r="BM494" s="1023"/>
      <c r="BN494" s="1023"/>
      <c r="BO494" s="847">
        <f>D493*(100-E493)/(100-BH494)</f>
        <v>0.82907965970610953</v>
      </c>
      <c r="BP494" s="1055">
        <f>D493-BG494</f>
        <v>6.0000000000000053E-2</v>
      </c>
      <c r="BQ494" s="1056">
        <f>100*(AVERAGE(D$458,D$456,D$486,D$451,D$493,D$494,D$449,D$465,D$470,D$463)-BG494)/AVERAGE(D$458,D$456,D$486,D$451,D$493,D$494,D$449,D$465,D$470,D$463)</f>
        <v>45.467422096317271</v>
      </c>
      <c r="BR494" s="1056">
        <f>100*(1-((100-AVERAGE(E$458,E$456,E$486,E$451,E$493,E$494,E$449,E$465,E$470,E$463))/(100-BH494)))</f>
        <v>43.717452951791678</v>
      </c>
      <c r="BS494" s="1055">
        <f>E493-BH494</f>
        <v>18.690000000000005</v>
      </c>
      <c r="BT494" s="1055">
        <f>100*(1-((BG494*BH494)/(AVERAGE(D$458,D$456,D$486,D$451,D$493,D$494,D$449,D$465,D$470,D$463)*AVERAGE(E$458,E$456,E$486,E$451,E$493,E$494,E$449,E$465,E$470,E$463))))</f>
        <v>57.297882848679514</v>
      </c>
      <c r="BU494" s="847">
        <f>100*100*((AVERAGE(E$458,E$456,E$486,E$451,E$493,E$494,E$449,E$465,E$470,E$463)-BH494)/((100-BH494)*AVERAGE(E$458,E$456,E$486,E$451,E$493,E$494,E$449,E$465,E$470,E$463)))</f>
        <v>55.92755725078252</v>
      </c>
      <c r="BV494" s="1023"/>
      <c r="BW494" s="1023">
        <v>50.5</v>
      </c>
      <c r="BX494" s="1023">
        <v>106</v>
      </c>
      <c r="BY494" s="1056">
        <f t="shared" ref="BY494" si="750">(BX494-BX493)*CB$1/((C494)/24)</f>
        <v>32</v>
      </c>
      <c r="BZ494" s="1056">
        <f t="shared" ref="BZ494" si="751">CB$3/BY494</f>
        <v>23.3125</v>
      </c>
      <c r="CA494" s="1023">
        <v>41</v>
      </c>
      <c r="CB494" s="1057">
        <f t="shared" si="744"/>
        <v>1962.5</v>
      </c>
      <c r="CC494" s="1023"/>
      <c r="CD494" s="1023"/>
      <c r="CE494" s="512">
        <f>CC494/(AVERAGE(BY495,BY494)*(AVERAGE(D$458,D$456,D$486,D$451,D$493,D$494,D$449,D$465,D$470,D$463))*AVERAGE(E$458,E$456,E$486,E$451,E$493,E$494,E$449,E$465,E$470,E$463)*0.0001)</f>
        <v>0</v>
      </c>
      <c r="CF494" s="334">
        <f>(CB494-CB488)/(AVERAGE(BY488:BY494)*((AVERAGE(D$458,D$456,D$486,D$451,D$493,D$494,D$449,D$465,D$470,D$463)*AVERAGE(E$458,E$456,E$486,E$451,E$493,E$494,E$449,E$465,E$470,E$463))-(BG494*BH494))*0.0001*(SUM(C488:C494)/24))</f>
        <v>-17229.074630548763</v>
      </c>
      <c r="CG494" s="334">
        <f>CC494/(AVERAGE(BY494,BY495)*AVERAGE((D$458,D$456,D$486,D$451,D$493,D$494,D$449,D$465,D$470,D$463))*0.01)</f>
        <v>0</v>
      </c>
      <c r="CH494" s="1023"/>
      <c r="CI494" s="1023"/>
      <c r="CJ494" s="1023"/>
      <c r="CK494" s="1023"/>
      <c r="CL494" s="1023"/>
      <c r="CM494" s="1023"/>
      <c r="CN494" s="1023"/>
    </row>
    <row r="495" spans="1:92">
      <c r="A495" s="1034">
        <f t="shared" si="716"/>
        <v>41650</v>
      </c>
      <c r="B495" s="1035">
        <v>0.33333333333333398</v>
      </c>
      <c r="C495" s="854">
        <f t="shared" si="742"/>
        <v>24</v>
      </c>
      <c r="D495" s="1044"/>
      <c r="E495" s="1044"/>
      <c r="F495" s="1044"/>
      <c r="G495" s="1044"/>
      <c r="H495" s="1044"/>
      <c r="I495" s="1044"/>
      <c r="J495" s="1044"/>
      <c r="K495" s="1044"/>
      <c r="L495" s="1044"/>
      <c r="M495" s="1044"/>
      <c r="N495" s="1044"/>
      <c r="O495" s="1044"/>
      <c r="P495" s="1044"/>
      <c r="Q495" s="1044"/>
      <c r="R495" s="1044"/>
      <c r="S495" s="1044"/>
      <c r="T495" s="1044"/>
      <c r="U495" s="1044"/>
      <c r="V495" s="1044"/>
      <c r="W495" s="1044"/>
      <c r="X495" s="1044"/>
      <c r="Y495" s="1044"/>
      <c r="Z495" s="1044"/>
      <c r="AA495" s="1044"/>
      <c r="AB495" s="1044"/>
      <c r="AC495" s="1044"/>
      <c r="AD495" s="1044"/>
      <c r="AE495" s="1044"/>
      <c r="AF495" s="1044"/>
      <c r="AG495" s="1044"/>
      <c r="AH495" s="1044"/>
      <c r="AI495" s="1044"/>
      <c r="AJ495" s="1044"/>
      <c r="AK495" s="1044"/>
      <c r="AL495" s="1044">
        <v>35.6</v>
      </c>
      <c r="AM495" s="1044">
        <v>188</v>
      </c>
      <c r="AN495" s="208">
        <f t="shared" si="717"/>
        <v>64.800000000000011</v>
      </c>
      <c r="AO495" s="208">
        <f t="shared" si="718"/>
        <v>21.80555555555555</v>
      </c>
      <c r="AP495" s="1044">
        <v>76</v>
      </c>
      <c r="AQ495" s="76">
        <f t="shared" si="743"/>
        <v>3922.5468750000005</v>
      </c>
      <c r="AR495" s="76">
        <f t="shared" si="737"/>
        <v>663.81562500000018</v>
      </c>
      <c r="AS495" s="230">
        <f t="shared" si="738"/>
        <v>27.658984375000006</v>
      </c>
      <c r="AT495" s="208">
        <f t="shared" ref="AT495:AT497" si="752">AR495/(AVERAGE(AN495,AN496)*(AVERAGE(D$458,D$456,D$486,D$451,D$493,D$494,D$449,D$465,D$470,D$463))*AVERAGE(E$458,E$456,E$486,E$451,E$493,E$494,E$449,E$465,E$470,E$463)*0.0001)</f>
        <v>488.48942554271781</v>
      </c>
      <c r="AU495" s="1058"/>
      <c r="AV495" s="230">
        <f t="shared" ref="AV495:AV497" si="753">AR495/(AVERAGE(AN496,AN495)*AVERAGE(D$458,D$456,D$486,D$451,D$493,D$494,D$449,D$465,D$470,D$463)*0.01)</f>
        <v>381.84241415823163</v>
      </c>
      <c r="AW495" s="855">
        <f t="shared" si="686"/>
        <v>0.46979166666666677</v>
      </c>
      <c r="AX495" s="1044"/>
      <c r="AY495" s="1044"/>
      <c r="AZ495" s="1044"/>
      <c r="BA495" s="1044"/>
      <c r="BB495" s="1044"/>
      <c r="BC495" s="1044"/>
      <c r="BD495" s="1044"/>
      <c r="BE495" s="1044"/>
      <c r="BF495" s="1044"/>
      <c r="BG495" s="1059"/>
      <c r="BH495" s="1059"/>
      <c r="BI495" s="1044"/>
      <c r="BJ495" s="1044"/>
      <c r="BK495" s="1044"/>
      <c r="BL495" s="1044"/>
      <c r="BM495" s="1044"/>
      <c r="BN495" s="1044"/>
      <c r="BO495" s="1044"/>
      <c r="BP495" s="1044"/>
      <c r="BQ495" s="1044"/>
      <c r="BR495" s="1044"/>
      <c r="BS495" s="1044"/>
      <c r="BT495" s="1044"/>
      <c r="BU495" s="1044"/>
      <c r="BV495" s="1044"/>
      <c r="BW495" s="1044">
        <v>50.5</v>
      </c>
      <c r="BX495" s="1044">
        <v>123</v>
      </c>
      <c r="BY495" s="1054">
        <f t="shared" si="733"/>
        <v>34</v>
      </c>
      <c r="BZ495" s="1074">
        <f t="shared" si="734"/>
        <v>21.941176470588236</v>
      </c>
      <c r="CA495" s="1044">
        <v>48</v>
      </c>
      <c r="CB495" s="1068">
        <f t="shared" si="744"/>
        <v>2391.796875</v>
      </c>
      <c r="CC495" s="208">
        <f t="shared" si="735"/>
        <v>429.296875</v>
      </c>
      <c r="CD495" s="208">
        <f t="shared" si="736"/>
        <v>17.887369791666668</v>
      </c>
      <c r="CE495" s="230">
        <f t="shared" ref="CE495:CE497" si="754">CC495/(AVERAGE(BY496,BY495)*(AVERAGE(D$458,D$456,D$486,D$451,D$493,D$494,D$449,D$465,D$470,D$463))*AVERAGE(E$458,E$456,E$486,E$451,E$493,E$494,E$449,E$465,E$470,E$463)*0.0001)</f>
        <v>589.31852688433094</v>
      </c>
      <c r="CF495" s="1058"/>
      <c r="CG495" s="208">
        <f>CC495/(AVERAGE(BY495,BY496)*AVERAGE((D$458,D$456,D$486,D$451,D$493,D$494,D$449,D$465,D$470,D$463))*0.01)</f>
        <v>460.65850609494379</v>
      </c>
      <c r="CH495" s="855">
        <f t="shared" si="725"/>
        <v>0.57546497989276135</v>
      </c>
      <c r="CI495" s="1044"/>
      <c r="CJ495" s="1044"/>
      <c r="CK495" s="1044"/>
      <c r="CL495" s="1044"/>
      <c r="CM495" s="1044"/>
      <c r="CN495" s="1044"/>
    </row>
    <row r="496" spans="1:92">
      <c r="A496" s="1034">
        <f t="shared" si="716"/>
        <v>41651</v>
      </c>
      <c r="B496" s="1035">
        <v>0.33333333333333398</v>
      </c>
      <c r="C496" s="854">
        <f t="shared" si="742"/>
        <v>24</v>
      </c>
      <c r="D496" s="1044"/>
      <c r="E496" s="1044"/>
      <c r="F496" s="1044"/>
      <c r="G496" s="1044"/>
      <c r="H496" s="1044"/>
      <c r="I496" s="1044"/>
      <c r="J496" s="1044"/>
      <c r="K496" s="1044"/>
      <c r="L496" s="1044"/>
      <c r="M496" s="1044"/>
      <c r="N496" s="1044"/>
      <c r="O496" s="1044"/>
      <c r="P496" s="1044"/>
      <c r="Q496" s="1044"/>
      <c r="R496" s="1044"/>
      <c r="S496" s="1044"/>
      <c r="T496" s="1044"/>
      <c r="U496" s="1044"/>
      <c r="V496" s="1044"/>
      <c r="W496" s="1044"/>
      <c r="X496" s="1044"/>
      <c r="Y496" s="1044"/>
      <c r="Z496" s="1044"/>
      <c r="AA496" s="1044"/>
      <c r="AB496" s="1044"/>
      <c r="AC496" s="1044"/>
      <c r="AD496" s="1044"/>
      <c r="AE496" s="1044"/>
      <c r="AF496" s="1044"/>
      <c r="AG496" s="1044"/>
      <c r="AH496" s="1044"/>
      <c r="AI496" s="1044"/>
      <c r="AJ496" s="1044"/>
      <c r="AK496" s="1044"/>
      <c r="AL496" s="1044">
        <v>35.6</v>
      </c>
      <c r="AM496" s="1044">
        <v>215</v>
      </c>
      <c r="AN496" s="208">
        <f t="shared" si="717"/>
        <v>58.320000000000007</v>
      </c>
      <c r="AO496" s="208">
        <f t="shared" si="718"/>
        <v>24.228395061728392</v>
      </c>
      <c r="AP496" s="1044">
        <v>90</v>
      </c>
      <c r="AQ496" s="76">
        <f t="shared" si="743"/>
        <v>4767.4031250000007</v>
      </c>
      <c r="AR496" s="76">
        <f t="shared" si="737"/>
        <v>844.85625000000027</v>
      </c>
      <c r="AS496" s="230">
        <f t="shared" si="738"/>
        <v>35.202343750000011</v>
      </c>
      <c r="AT496" s="208">
        <f t="shared" si="752"/>
        <v>632.81584672579368</v>
      </c>
      <c r="AU496" s="1058"/>
      <c r="AV496" s="230">
        <f t="shared" si="753"/>
        <v>494.65949106861831</v>
      </c>
      <c r="AW496" s="855">
        <f t="shared" si="686"/>
        <v>0.59791666666666687</v>
      </c>
      <c r="AX496" s="1044"/>
      <c r="AY496" s="1044"/>
      <c r="AZ496" s="1044"/>
      <c r="BA496" s="1044"/>
      <c r="BB496" s="1044"/>
      <c r="BC496" s="1044"/>
      <c r="BD496" s="1044"/>
      <c r="BE496" s="1044"/>
      <c r="BF496" s="1044"/>
      <c r="BG496" s="1059"/>
      <c r="BH496" s="1059"/>
      <c r="BI496" s="1044"/>
      <c r="BJ496" s="1044"/>
      <c r="BK496" s="1044"/>
      <c r="BL496" s="1044"/>
      <c r="BM496" s="1044"/>
      <c r="BN496" s="1044"/>
      <c r="BO496" s="1044"/>
      <c r="BP496" s="1044"/>
      <c r="BQ496" s="1044"/>
      <c r="BR496" s="1044"/>
      <c r="BS496" s="1044"/>
      <c r="BT496" s="1044"/>
      <c r="BU496" s="1044"/>
      <c r="BV496" s="1044"/>
      <c r="BW496" s="1044">
        <v>50.6</v>
      </c>
      <c r="BX496" s="1044">
        <v>139</v>
      </c>
      <c r="BY496" s="1054">
        <f t="shared" si="733"/>
        <v>32</v>
      </c>
      <c r="BZ496" s="1074">
        <f t="shared" si="734"/>
        <v>23.3125</v>
      </c>
      <c r="CA496" s="1044">
        <v>56</v>
      </c>
      <c r="CB496" s="1068">
        <f t="shared" si="744"/>
        <v>2882.421875</v>
      </c>
      <c r="CC496" s="208">
        <f t="shared" si="735"/>
        <v>490.625</v>
      </c>
      <c r="CD496" s="208">
        <f t="shared" si="736"/>
        <v>20.442708333333332</v>
      </c>
      <c r="CE496" s="230">
        <f t="shared" si="754"/>
        <v>694.55397811367584</v>
      </c>
      <c r="CF496" s="1058"/>
      <c r="CG496" s="208">
        <f>CC496/(AVERAGE(BY496,BY497)*AVERAGE((D$458,D$456,D$486,D$451,D$493,D$494,D$449,D$465,D$470,D$463))*0.01)</f>
        <v>542.91895361189802</v>
      </c>
      <c r="CH496" s="855">
        <f t="shared" si="725"/>
        <v>0.6576742627345844</v>
      </c>
      <c r="CI496" s="1044"/>
      <c r="CJ496" s="1044"/>
      <c r="CK496" s="1044"/>
      <c r="CL496" s="1044"/>
      <c r="CM496" s="1044"/>
      <c r="CN496" s="1044"/>
    </row>
    <row r="497" spans="1:92">
      <c r="A497" s="1034">
        <f t="shared" si="716"/>
        <v>41652</v>
      </c>
      <c r="B497" s="1035">
        <v>0.33333333333333398</v>
      </c>
      <c r="C497" s="854">
        <f t="shared" si="742"/>
        <v>24</v>
      </c>
      <c r="D497" s="1044"/>
      <c r="E497" s="1044"/>
      <c r="F497" s="1044"/>
      <c r="G497" s="1044"/>
      <c r="H497" s="1044"/>
      <c r="I497" s="1044"/>
      <c r="J497" s="1044"/>
      <c r="K497" s="1044"/>
      <c r="L497" s="1044"/>
      <c r="M497" s="1044"/>
      <c r="N497" s="1044"/>
      <c r="O497" s="1044"/>
      <c r="P497" s="1044"/>
      <c r="Q497" s="1044"/>
      <c r="R497" s="1044"/>
      <c r="S497" s="1044"/>
      <c r="T497" s="1044"/>
      <c r="U497" s="1044"/>
      <c r="V497" s="1044"/>
      <c r="W497" s="1044"/>
      <c r="X497" s="1044"/>
      <c r="Y497" s="1044"/>
      <c r="Z497" s="1044"/>
      <c r="AA497" s="1044"/>
      <c r="AB497" s="1044"/>
      <c r="AC497" s="1044"/>
      <c r="AD497" s="1044"/>
      <c r="AE497" s="1044"/>
      <c r="AF497" s="1044"/>
      <c r="AG497" s="1044"/>
      <c r="AH497" s="1044"/>
      <c r="AI497" s="1044"/>
      <c r="AJ497" s="1044"/>
      <c r="AK497" s="1044"/>
      <c r="AL497" s="1044">
        <v>35.6</v>
      </c>
      <c r="AM497" s="1044">
        <v>244</v>
      </c>
      <c r="AN497" s="208">
        <f t="shared" ref="AN497:AN504" si="755">(AM497-AM496)*AQ$1/((C496)/24)</f>
        <v>62.64</v>
      </c>
      <c r="AO497" s="208">
        <f t="shared" ref="AO497:AO504" si="756">AQ$3/AN497</f>
        <v>22.557471264367816</v>
      </c>
      <c r="AP497" s="1044">
        <v>103</v>
      </c>
      <c r="AQ497" s="76">
        <f t="shared" si="743"/>
        <v>5551.9125000000004</v>
      </c>
      <c r="AR497" s="76">
        <f t="shared" ref="AR497:AR504" si="757">(AQ497-AQ496)/(C497/24)</f>
        <v>784.50937499999964</v>
      </c>
      <c r="AS497" s="230">
        <f t="shared" ref="AS497:AS504" si="758">(AQ497-AQ496)/C497</f>
        <v>32.687890624999987</v>
      </c>
      <c r="AT497" s="208">
        <f t="shared" si="752"/>
        <v>598.29861872256811</v>
      </c>
      <c r="AU497" s="1058"/>
      <c r="AV497" s="230">
        <f t="shared" si="753"/>
        <v>467.67806428305698</v>
      </c>
      <c r="AW497" s="855">
        <f t="shared" si="686"/>
        <v>0.55520833333333308</v>
      </c>
      <c r="AX497" s="1044"/>
      <c r="AY497" s="1044"/>
      <c r="AZ497" s="1044"/>
      <c r="BA497" s="1044"/>
      <c r="BB497" s="1044"/>
      <c r="BC497" s="1044"/>
      <c r="BD497" s="1044"/>
      <c r="BE497" s="1044"/>
      <c r="BF497" s="1044"/>
      <c r="BG497" s="1059"/>
      <c r="BH497" s="1059"/>
      <c r="BI497" s="1044"/>
      <c r="BJ497" s="1044"/>
      <c r="BK497" s="1044"/>
      <c r="BL497" s="1044"/>
      <c r="BM497" s="1044"/>
      <c r="BN497" s="1044"/>
      <c r="BO497" s="1044"/>
      <c r="BP497" s="1044"/>
      <c r="BQ497" s="1044"/>
      <c r="BR497" s="1044"/>
      <c r="BS497" s="1044"/>
      <c r="BT497" s="1044"/>
      <c r="BU497" s="1044"/>
      <c r="BV497" s="1044"/>
      <c r="BW497" s="1044">
        <v>50.5</v>
      </c>
      <c r="BX497" s="1044">
        <v>155</v>
      </c>
      <c r="BY497" s="1054">
        <f t="shared" ref="BY497:BY504" si="759">(BX497-BX496)*CB$1/((C497)/24)</f>
        <v>32</v>
      </c>
      <c r="BZ497" s="1054">
        <f t="shared" ref="BZ497:BZ504" si="760">CB$3/BY497</f>
        <v>23.3125</v>
      </c>
      <c r="CA497" s="1044">
        <v>64</v>
      </c>
      <c r="CB497" s="1047">
        <f t="shared" si="744"/>
        <v>3373.046875</v>
      </c>
      <c r="CC497" s="208">
        <f t="shared" ref="CC497:CC504" si="761">(CB497-CB496)/((C497/24))</f>
        <v>490.625</v>
      </c>
      <c r="CD497" s="208">
        <f t="shared" ref="CD497:CD504" si="762">(CB497-CB496)/(C497)</f>
        <v>20.442708333333332</v>
      </c>
      <c r="CE497" s="230">
        <f t="shared" si="754"/>
        <v>740.85757665458743</v>
      </c>
      <c r="CF497" s="1058"/>
      <c r="CG497" s="208">
        <f>CC497/(AVERAGE(BY497,BY498)*AVERAGE((D$458,D$456,D$486,D$451,D$493,D$494,D$449,D$465,D$470,D$463))*0.01)</f>
        <v>579.11355051935789</v>
      </c>
      <c r="CH497" s="855">
        <f t="shared" si="725"/>
        <v>0.6576742627345844</v>
      </c>
      <c r="CI497" s="1044"/>
      <c r="CJ497" s="1044"/>
      <c r="CK497" s="1044"/>
      <c r="CL497" s="1044"/>
      <c r="CM497" s="1044"/>
      <c r="CN497" s="1044"/>
    </row>
    <row r="498" spans="1:92" s="337" customFormat="1">
      <c r="A498" s="1036">
        <f t="shared" si="716"/>
        <v>41653</v>
      </c>
      <c r="B498" s="1037">
        <f>B497</f>
        <v>0.33333333333333398</v>
      </c>
      <c r="C498" s="847">
        <f t="shared" ref="C498" si="763">((A498-A497)+(B498-B497))*24</f>
        <v>24</v>
      </c>
      <c r="D498" s="1046">
        <v>2.42</v>
      </c>
      <c r="E498" s="1046">
        <v>86.93</v>
      </c>
      <c r="F498" s="1023"/>
      <c r="G498" s="1023"/>
      <c r="H498" s="1023"/>
      <c r="I498" s="1023"/>
      <c r="J498" s="1023"/>
      <c r="K498" s="1023"/>
      <c r="L498" s="1023"/>
      <c r="M498" s="1023"/>
      <c r="N498" s="1023"/>
      <c r="O498" s="1023"/>
      <c r="P498" s="1023"/>
      <c r="Q498" s="1023"/>
      <c r="R498" s="1023"/>
      <c r="S498" s="1023"/>
      <c r="T498" s="1023"/>
      <c r="U498" s="1023"/>
      <c r="V498" s="1046">
        <v>1.6</v>
      </c>
      <c r="W498" s="1046">
        <v>71.03</v>
      </c>
      <c r="X498" s="1023"/>
      <c r="Y498" s="1023"/>
      <c r="Z498" s="1023"/>
      <c r="AA498" s="1023"/>
      <c r="AB498" s="1023"/>
      <c r="AC498" s="1023"/>
      <c r="AD498" s="1021">
        <f>D494*(100-E494)/(100-W498)</f>
        <v>1.3281670693821201</v>
      </c>
      <c r="AE498" s="1055">
        <f>D494-V498</f>
        <v>0.58000000000000007</v>
      </c>
      <c r="AF498" s="847">
        <f>100*(AVERAGE(D$458,D$456,D$486,D$451,D$493,D$494,D$498,D$465,D$470,D$463)-V498)/AVERAGE(D$458,D$456,D$486,D$451,D$493,D$494,D$498,D$465,D$470,D$463)</f>
        <v>40.074906367041194</v>
      </c>
      <c r="AG498" s="847">
        <f>100*(1-((100-AVERAGE(E$458,E$456,E$486,E$451,E$493,E$494,E$498,E$465,E$470,E$463))/(100-W498)))</f>
        <v>27.245426303072151</v>
      </c>
      <c r="AH498" s="1055">
        <f>E494-W498</f>
        <v>11.319999999999993</v>
      </c>
      <c r="AI498" s="847">
        <f>100*(1-((V498*W498)/(AVERAGE(D$458,D$456,D$486,D$451,D$493,D$494,D$498,D$465,D$470,D$463)*AVERAGE(E$458,E$456,E$486,E$451,E$493,E$494,E$498,E$465,E$470,E$463))))</f>
        <v>46.067947230223581</v>
      </c>
      <c r="AJ498" s="847">
        <f>100*100*((AVERAGE(E$458,E$456,E$486,E$451,E$493,E$494,E$498,E$465,E$470,E$463)-W498)/((100-W498)*AVERAGE(E$458,E$456,E$486,E$451,E$493,E$494,E$498,E$465,E$470,E$463)))</f>
        <v>34.521528962497811</v>
      </c>
      <c r="AK498" s="1023"/>
      <c r="AL498" s="1023">
        <v>35.700000000000003</v>
      </c>
      <c r="AM498" s="1023">
        <v>270</v>
      </c>
      <c r="AN498" s="334">
        <f t="shared" ref="AN498" si="764">(AM498-AM497)*AQ$1/((C497)/24)</f>
        <v>56.160000000000004</v>
      </c>
      <c r="AO498" s="334">
        <f t="shared" ref="AO498" si="765">AQ$3/AN498</f>
        <v>25.160256410256409</v>
      </c>
      <c r="AP498" s="1023">
        <v>117</v>
      </c>
      <c r="AQ498" s="348">
        <f t="shared" ref="AQ498" si="766">((AP498-AP$489)*AQ$2)</f>
        <v>6396.7687500000002</v>
      </c>
      <c r="AR498" s="348">
        <f t="shared" ref="AR498" si="767">(AQ498-AQ497)/(C498/24)</f>
        <v>844.85624999999982</v>
      </c>
      <c r="AS498" s="512">
        <f t="shared" ref="AS498" si="768">(AQ498-AQ497)/C498</f>
        <v>35.20234374999999</v>
      </c>
      <c r="AT498" s="334">
        <f>AR498/(AVERAGE(AN498,AN499)*(AVERAGE(D$458,D$456,D$486,D$451,D$493,D$494,D$498,D$465,D$470,D$463))*AVERAGE(E$458,E$456,E$486,E$451,E$493,E$494,E$498,E$465,E$470,E$463)*0.0001)</f>
        <v>687.46478938969449</v>
      </c>
      <c r="AU498" s="334">
        <f>(AQ498-AQ492)/(AVERAGE(AN492:AN498)*((AVERAGE(D$458,D$456,D$486,D$451,D$493,D$494,D$498,D$465,D$470,D$463)*AVERAGE(E$458,E$456,E$486,E$451,E$493,E$494,E$498,E$465,E$470,E$463))-(V498*W498))*0.0001*(SUM(C492:C498)/24))</f>
        <v>1092.155395206466</v>
      </c>
      <c r="AV498" s="512">
        <f>AR498/(AVERAGE(AN499,AN498)*AVERAGE(D$458,D$456,D$486,D$451,D$493,D$494,D$498,D$465,D$470,D$463)*0.01)</f>
        <v>542.56783573002872</v>
      </c>
      <c r="AW498" s="848">
        <f t="shared" ref="AW498" si="769">AR498/AQ$3</f>
        <v>0.59791666666666654</v>
      </c>
      <c r="AX498" s="1023"/>
      <c r="AY498" s="1023"/>
      <c r="AZ498" s="1023"/>
      <c r="BA498" s="1023"/>
      <c r="BB498" s="1023"/>
      <c r="BC498" s="1023"/>
      <c r="BD498" s="1023"/>
      <c r="BE498" s="1023"/>
      <c r="BF498" s="1023"/>
      <c r="BG498" s="1046">
        <v>1.85</v>
      </c>
      <c r="BH498" s="1046">
        <v>64.709999999999994</v>
      </c>
      <c r="BI498" s="1023"/>
      <c r="BJ498" s="1023"/>
      <c r="BK498" s="1023"/>
      <c r="BL498" s="1023"/>
      <c r="BM498" s="1023"/>
      <c r="BN498" s="1023"/>
      <c r="BO498" s="847">
        <f>D494*(100-E494)/(100-BH498)</f>
        <v>1.0903088693680933</v>
      </c>
      <c r="BP498" s="1055">
        <f>D494-BG498</f>
        <v>0.33000000000000007</v>
      </c>
      <c r="BQ498" s="1056">
        <f>100*(AVERAGE(D$458,D$456,D$486,D$451,D$493,D$494,D$498,D$465,D$470,D$463)-BG498)/AVERAGE(D$458,D$456,D$486,D$451,D$493,D$494,D$498,D$465,D$470,D$463)</f>
        <v>30.711610486891381</v>
      </c>
      <c r="BR498" s="1056">
        <f>100*(1-((100-AVERAGE(E$458,E$456,E$486,E$451,E$493,E$494,E$498,E$465,E$470,E$463))/(100-BH498)))</f>
        <v>40.274865400963463</v>
      </c>
      <c r="BS498" s="1055">
        <f>E494-BH498</f>
        <v>17.64</v>
      </c>
      <c r="BT498" s="1055">
        <f>100*(1-((BG498*BH498)/(AVERAGE(D$458,D$456,D$486,D$451,D$493,D$494,D$498,D$465,D$470,D$463)*AVERAGE(E$458,E$456,E$486,E$451,E$493,E$494,E$498,E$465,E$470,E$463))))</f>
        <v>43.189543157339962</v>
      </c>
      <c r="BU498" s="847">
        <f>100*100*((AVERAGE(E$458,E$456,E$486,E$451,E$493,E$494,E$498,E$465,E$470,E$463)-BH498)/((100-BH498)*AVERAGE(E$458,E$456,E$486,E$451,E$493,E$494,E$498,E$465,E$470,E$463)))</f>
        <v>51.030580947206097</v>
      </c>
      <c r="BV498" s="1023"/>
      <c r="BW498" s="1023">
        <v>50.6</v>
      </c>
      <c r="BX498" s="1023">
        <v>169</v>
      </c>
      <c r="BY498" s="1056">
        <f t="shared" ref="BY498" si="770">(BX498-BX497)*CB$1/((C498)/24)</f>
        <v>28</v>
      </c>
      <c r="BZ498" s="1056">
        <f t="shared" ref="BZ498" si="771">CB$3/BY498</f>
        <v>26.642857142857142</v>
      </c>
      <c r="CA498" s="1023">
        <v>72</v>
      </c>
      <c r="CB498" s="1057">
        <f t="shared" si="744"/>
        <v>3863.671875</v>
      </c>
      <c r="CC498" s="334">
        <f t="shared" ref="CC498" si="772">(CB498-CB497)/((C498/24))</f>
        <v>490.625</v>
      </c>
      <c r="CD498" s="334">
        <f t="shared" ref="CD498" si="773">(CB498-CB497)/(C498)</f>
        <v>20.442708333333332</v>
      </c>
      <c r="CE498" s="512">
        <f>CC498/(AVERAGE(BY499,BY498)*(AVERAGE(D$458,D$456,D$486,D$451,D$493,D$494,D$498,D$465,D$470,D$463))*AVERAGE(E$458,E$456,E$486,E$451,E$493,E$494,E$498,E$465,E$470,E$463)*0.0001)</f>
        <v>751.0574073134577</v>
      </c>
      <c r="CF498" s="334">
        <f>(CB498-CB492)/(AVERAGE(BY492:BY498)*((AVERAGE(D$458,D$456,D$486,D$451,D$493,D$494,D$498,D$465,D$470,D$463)*AVERAGE(E$458,E$456,E$486,E$451,E$493,E$494,E$498,E$465,E$470,E$463))-(BG498*BH498))*0.0001*(SUM(C492:C498)/24))</f>
        <v>1335.5677768603648</v>
      </c>
      <c r="CG498" s="334">
        <f>CC498/(AVERAGE(BY498,BY499)*AVERAGE((D$458,D$456,D$486,D$451,D$493,D$494,D$498,D$465,D$470,D$463))*0.01)</f>
        <v>592.75703757400026</v>
      </c>
      <c r="CH498" s="848">
        <f t="shared" ref="CH498" si="774">CC498/CB$3</f>
        <v>0.6576742627345844</v>
      </c>
      <c r="CI498" s="1023"/>
      <c r="CJ498" s="1023"/>
      <c r="CK498" s="1023"/>
      <c r="CL498" s="1023"/>
      <c r="CM498" s="1023"/>
      <c r="CN498" s="1023"/>
    </row>
    <row r="499" spans="1:92">
      <c r="A499" s="1034">
        <f t="shared" si="716"/>
        <v>41654</v>
      </c>
      <c r="B499" s="1035">
        <f>B498</f>
        <v>0.33333333333333398</v>
      </c>
      <c r="C499" s="854">
        <f t="shared" si="742"/>
        <v>24</v>
      </c>
      <c r="D499" s="1044"/>
      <c r="E499" s="1044"/>
      <c r="F499" s="1044"/>
      <c r="G499" s="1044"/>
      <c r="H499" s="1044"/>
      <c r="I499" s="1044"/>
      <c r="J499" s="1044"/>
      <c r="K499" s="1044"/>
      <c r="L499" s="1044"/>
      <c r="M499" s="1044"/>
      <c r="N499" s="1044"/>
      <c r="O499" s="1044"/>
      <c r="P499" s="1044"/>
      <c r="Q499" s="1044"/>
      <c r="R499" s="1044"/>
      <c r="S499" s="1044"/>
      <c r="T499" s="1044"/>
      <c r="U499" s="1044"/>
      <c r="V499" s="1044"/>
      <c r="W499" s="1044"/>
      <c r="X499" s="1044"/>
      <c r="Y499" s="1044"/>
      <c r="Z499" s="1044"/>
      <c r="AA499" s="1044"/>
      <c r="AB499" s="1044"/>
      <c r="AC499" s="1044"/>
      <c r="AD499" s="1044"/>
      <c r="AE499" s="1044"/>
      <c r="AF499" s="1044"/>
      <c r="AG499" s="1044"/>
      <c r="AH499" s="1044"/>
      <c r="AI499" s="1044"/>
      <c r="AJ499" s="1044"/>
      <c r="AK499" s="1044"/>
      <c r="AL499" s="1044">
        <v>35.700000000000003</v>
      </c>
      <c r="AM499" s="1059">
        <v>298</v>
      </c>
      <c r="AN499" s="585">
        <f t="shared" si="755"/>
        <v>60.480000000000004</v>
      </c>
      <c r="AO499" s="585">
        <f t="shared" si="756"/>
        <v>23.363095238095237</v>
      </c>
      <c r="AP499" s="1059">
        <v>131</v>
      </c>
      <c r="AQ499" s="76">
        <f t="shared" si="743"/>
        <v>7241.6250000000009</v>
      </c>
      <c r="AR499" s="76">
        <f t="shared" si="757"/>
        <v>844.85625000000073</v>
      </c>
      <c r="AS499" s="230">
        <f t="shared" si="758"/>
        <v>35.202343750000033</v>
      </c>
      <c r="AT499" s="208">
        <f t="shared" ref="AT499:AT504" si="775">AR499/(AVERAGE(AN499,AN500)*(AVERAGE(D$458,D$456,D$486,D$451,D$493,D$494,D$498,D$465,D$470,D$463))*AVERAGE(E$458,E$456,E$486,E$451,E$493,E$494,E$498,E$465,E$470,E$463)*0.0001)</f>
        <v>687.46478938969528</v>
      </c>
      <c r="AU499" s="1058"/>
      <c r="AV499" s="230">
        <f t="shared" ref="AV499:AV504" si="776">AR499/(AVERAGE(AN500,AN499)*AVERAGE(D$458,D$456,D$486,D$451,D$493,D$494,D$498,D$465,D$470,D$463)*0.01)</f>
        <v>542.56783573002929</v>
      </c>
      <c r="AW499" s="855">
        <f t="shared" si="686"/>
        <v>0.59791666666666721</v>
      </c>
      <c r="AX499" s="1044"/>
      <c r="AY499" s="1044"/>
      <c r="AZ499" s="1044"/>
      <c r="BA499" s="1044"/>
      <c r="BB499" s="1044"/>
      <c r="BC499" s="1044"/>
      <c r="BD499" s="1044"/>
      <c r="BE499" s="1044"/>
      <c r="BF499" s="1044"/>
      <c r="BG499" s="1059"/>
      <c r="BH499" s="1059"/>
      <c r="BI499" s="1044"/>
      <c r="BJ499" s="1044"/>
      <c r="BK499" s="1044"/>
      <c r="BL499" s="1044"/>
      <c r="BM499" s="1044"/>
      <c r="BN499" s="1044"/>
      <c r="BO499" s="1044"/>
      <c r="BP499" s="1044"/>
      <c r="BQ499" s="1044"/>
      <c r="BR499" s="1044"/>
      <c r="BS499" s="1044"/>
      <c r="BT499" s="1044"/>
      <c r="BU499" s="1044"/>
      <c r="BV499" s="1044"/>
      <c r="BW499" s="1044">
        <v>50.5</v>
      </c>
      <c r="BX499" s="1044">
        <v>186</v>
      </c>
      <c r="BY499" s="1054">
        <f t="shared" si="759"/>
        <v>34</v>
      </c>
      <c r="BZ499" s="1074">
        <f t="shared" si="760"/>
        <v>21.941176470588236</v>
      </c>
      <c r="CA499" s="1044">
        <v>80</v>
      </c>
      <c r="CB499" s="1047">
        <f t="shared" si="744"/>
        <v>4354.296875</v>
      </c>
      <c r="CC499" s="208">
        <f t="shared" si="761"/>
        <v>490.625</v>
      </c>
      <c r="CD499" s="208">
        <f t="shared" si="762"/>
        <v>20.442708333333332</v>
      </c>
      <c r="CE499" s="230">
        <f t="shared" ref="CE499:CE504" si="777">CC499/(AVERAGE(BY500,BY499)*(AVERAGE(D$458,D$456,D$486,D$451,D$493,D$494,D$498,D$465,D$470,D$463))*AVERAGE(E$458,E$456,E$486,E$451,E$493,E$494,E$498,E$465,E$470,E$463)*0.0001)</f>
        <v>1012.2947663790081</v>
      </c>
      <c r="CF499" s="1058"/>
      <c r="CG499" s="208">
        <f>CC499/(AVERAGE(BY499,BY500)*AVERAGE((D$458,D$456,D$486,D$451,D$493,D$494,D$498,D$465,D$470,D$463))*0.01)</f>
        <v>798.93339846930473</v>
      </c>
      <c r="CH499" s="855">
        <f t="shared" si="725"/>
        <v>0.6576742627345844</v>
      </c>
      <c r="CI499" s="1044"/>
      <c r="CJ499" s="1044"/>
      <c r="CK499" s="1044"/>
      <c r="CL499" s="1044"/>
      <c r="CM499" s="1044"/>
      <c r="CN499" s="1044"/>
    </row>
    <row r="500" spans="1:92">
      <c r="A500" s="1034">
        <f t="shared" si="716"/>
        <v>41655</v>
      </c>
      <c r="B500" s="1035">
        <f>B499</f>
        <v>0.33333333333333398</v>
      </c>
      <c r="C500" s="854">
        <f t="shared" si="742"/>
        <v>24</v>
      </c>
      <c r="D500" s="1044"/>
      <c r="E500" s="1044"/>
      <c r="F500" s="1044"/>
      <c r="G500" s="1044"/>
      <c r="H500" s="1044"/>
      <c r="I500" s="1044"/>
      <c r="J500" s="1044"/>
      <c r="K500" s="1044"/>
      <c r="L500" s="1044"/>
      <c r="M500" s="1044"/>
      <c r="N500" s="1044"/>
      <c r="O500" s="1044"/>
      <c r="P500" s="1044"/>
      <c r="Q500" s="1044"/>
      <c r="R500" s="1044"/>
      <c r="S500" s="1044"/>
      <c r="T500" s="1044"/>
      <c r="U500" s="1044"/>
      <c r="V500" s="1044"/>
      <c r="W500" s="1044"/>
      <c r="X500" s="1044"/>
      <c r="Y500" s="1044"/>
      <c r="Z500" s="1044"/>
      <c r="AA500" s="1044"/>
      <c r="AB500" s="1044"/>
      <c r="AC500" s="1044"/>
      <c r="AD500" s="1044"/>
      <c r="AE500" s="1044"/>
      <c r="AF500" s="1044"/>
      <c r="AG500" s="1044"/>
      <c r="AH500" s="1044"/>
      <c r="AI500" s="1044"/>
      <c r="AJ500" s="1044"/>
      <c r="AK500" s="1044"/>
      <c r="AL500" s="1044">
        <v>35.6</v>
      </c>
      <c r="AM500" s="1059">
        <v>324</v>
      </c>
      <c r="AN500" s="585">
        <f t="shared" si="755"/>
        <v>56.160000000000004</v>
      </c>
      <c r="AO500" s="585">
        <f t="shared" si="756"/>
        <v>25.160256410256409</v>
      </c>
      <c r="AP500" s="1059">
        <v>146</v>
      </c>
      <c r="AQ500" s="76">
        <f t="shared" si="743"/>
        <v>8146.8281250000009</v>
      </c>
      <c r="AR500" s="76">
        <f t="shared" si="757"/>
        <v>905.203125</v>
      </c>
      <c r="AS500" s="230">
        <f t="shared" si="758"/>
        <v>37.716796875</v>
      </c>
      <c r="AT500" s="208">
        <f t="shared" si="775"/>
        <v>947.01782211845705</v>
      </c>
      <c r="AU500" s="1058"/>
      <c r="AV500" s="230">
        <f t="shared" si="776"/>
        <v>747.41487575054998</v>
      </c>
      <c r="AW500" s="855">
        <f t="shared" si="686"/>
        <v>0.640625</v>
      </c>
      <c r="AX500" s="1044"/>
      <c r="AY500" s="1044"/>
      <c r="AZ500" s="1044"/>
      <c r="BA500" s="1044"/>
      <c r="BB500" s="1044"/>
      <c r="BC500" s="1044"/>
      <c r="BD500" s="1044"/>
      <c r="BE500" s="1044"/>
      <c r="BF500" s="1044"/>
      <c r="BG500" s="1059"/>
      <c r="BH500" s="1059"/>
      <c r="BI500" s="1044"/>
      <c r="BJ500" s="1044"/>
      <c r="BK500" s="1044"/>
      <c r="BL500" s="1044"/>
      <c r="BM500" s="1044"/>
      <c r="BN500" s="1044"/>
      <c r="BO500" s="1044"/>
      <c r="BP500" s="1044"/>
      <c r="BQ500" s="1044"/>
      <c r="BR500" s="1044"/>
      <c r="BS500" s="1044"/>
      <c r="BT500" s="1044"/>
      <c r="BU500" s="1044"/>
      <c r="BV500" s="1044"/>
      <c r="BW500" s="1044">
        <v>50.6</v>
      </c>
      <c r="BX500" s="1044">
        <v>192</v>
      </c>
      <c r="BY500" s="1054">
        <f t="shared" si="759"/>
        <v>12</v>
      </c>
      <c r="BZ500" s="1074">
        <f t="shared" si="760"/>
        <v>62.166666666666664</v>
      </c>
      <c r="CA500" s="1044">
        <v>87</v>
      </c>
      <c r="CB500" s="1047">
        <f t="shared" si="744"/>
        <v>4783.59375</v>
      </c>
      <c r="CC500" s="208">
        <f t="shared" si="761"/>
        <v>429.296875</v>
      </c>
      <c r="CD500" s="208">
        <f t="shared" si="762"/>
        <v>17.887369791666668</v>
      </c>
      <c r="CE500" s="230">
        <f t="shared" si="777"/>
        <v>679.08107244591804</v>
      </c>
      <c r="CF500" s="1058"/>
      <c r="CG500" s="208">
        <f>CC500/(AVERAGE(BY500,BY501)*AVERAGE((D$458,D$456,D$486,D$451,D$493,D$494,D$498,D$465,D$470,D$463))*0.01)</f>
        <v>535.9511548064919</v>
      </c>
      <c r="CH500" s="855">
        <f t="shared" si="725"/>
        <v>0.57546497989276135</v>
      </c>
      <c r="CI500" s="1044"/>
      <c r="CJ500" s="1044"/>
      <c r="CK500" s="1044"/>
      <c r="CL500" s="1044"/>
      <c r="CM500" s="1044"/>
      <c r="CN500" s="1044"/>
    </row>
    <row r="501" spans="1:92">
      <c r="A501" s="1034">
        <f t="shared" si="716"/>
        <v>41656</v>
      </c>
      <c r="B501" s="1035">
        <f>B500</f>
        <v>0.33333333333333398</v>
      </c>
      <c r="C501" s="854">
        <f t="shared" si="742"/>
        <v>24</v>
      </c>
      <c r="D501" s="1044"/>
      <c r="E501" s="1044"/>
      <c r="F501" s="1044"/>
      <c r="G501" s="1044"/>
      <c r="H501" s="1044"/>
      <c r="I501" s="1044"/>
      <c r="J501" s="1044"/>
      <c r="K501" s="1044"/>
      <c r="L501" s="1044"/>
      <c r="M501" s="1044"/>
      <c r="N501" s="1044"/>
      <c r="O501" s="1044"/>
      <c r="P501" s="1044"/>
      <c r="Q501" s="1044"/>
      <c r="R501" s="1044"/>
      <c r="S501" s="1044"/>
      <c r="T501" s="1044"/>
      <c r="U501" s="1044"/>
      <c r="V501" s="1044"/>
      <c r="W501" s="1044"/>
      <c r="X501" s="1044"/>
      <c r="Y501" s="1044"/>
      <c r="Z501" s="1044"/>
      <c r="AA501" s="1044"/>
      <c r="AB501" s="1044"/>
      <c r="AC501" s="1044"/>
      <c r="AD501" s="1044"/>
      <c r="AE501" s="1044"/>
      <c r="AF501" s="1044"/>
      <c r="AG501" s="1044"/>
      <c r="AH501" s="1044"/>
      <c r="AI501" s="1044"/>
      <c r="AJ501" s="1044"/>
      <c r="AK501" s="1044"/>
      <c r="AL501" s="1044">
        <v>35.700000000000003</v>
      </c>
      <c r="AM501" s="1059">
        <v>340</v>
      </c>
      <c r="AN501" s="585">
        <f t="shared" si="755"/>
        <v>34.56</v>
      </c>
      <c r="AO501" s="585">
        <f t="shared" si="756"/>
        <v>40.885416666666664</v>
      </c>
      <c r="AP501" s="1059">
        <v>158</v>
      </c>
      <c r="AQ501" s="76">
        <f t="shared" si="743"/>
        <v>8870.9906250000004</v>
      </c>
      <c r="AR501" s="76">
        <f t="shared" si="757"/>
        <v>724.16249999999945</v>
      </c>
      <c r="AS501" s="230">
        <f t="shared" si="758"/>
        <v>30.173437499999977</v>
      </c>
      <c r="AT501" s="208">
        <f t="shared" si="775"/>
        <v>723.1772459813667</v>
      </c>
      <c r="AU501" s="1058"/>
      <c r="AV501" s="230">
        <f t="shared" si="776"/>
        <v>570.75317784587412</v>
      </c>
      <c r="AW501" s="855">
        <f t="shared" si="686"/>
        <v>0.51249999999999962</v>
      </c>
      <c r="AX501" s="1044"/>
      <c r="AY501" s="1044"/>
      <c r="AZ501" s="1044"/>
      <c r="BA501" s="1044"/>
      <c r="BB501" s="1044"/>
      <c r="BC501" s="1044"/>
      <c r="BD501" s="1044"/>
      <c r="BE501" s="1044"/>
      <c r="BF501" s="1044"/>
      <c r="BG501" s="1059"/>
      <c r="BH501" s="1059"/>
      <c r="BI501" s="1044"/>
      <c r="BJ501" s="1044"/>
      <c r="BK501" s="1044"/>
      <c r="BL501" s="1044"/>
      <c r="BM501" s="1044"/>
      <c r="BN501" s="1044"/>
      <c r="BO501" s="1044"/>
      <c r="BP501" s="1044"/>
      <c r="BQ501" s="1044"/>
      <c r="BR501" s="1044"/>
      <c r="BS501" s="1044"/>
      <c r="BT501" s="1044"/>
      <c r="BU501" s="1044"/>
      <c r="BV501" s="1044"/>
      <c r="BW501" s="1044">
        <v>50.7</v>
      </c>
      <c r="BX501" s="1044">
        <v>216</v>
      </c>
      <c r="BY501" s="1054">
        <f t="shared" si="759"/>
        <v>48</v>
      </c>
      <c r="BZ501" s="1054">
        <f t="shared" si="760"/>
        <v>15.541666666666666</v>
      </c>
      <c r="CA501" s="1044">
        <v>92</v>
      </c>
      <c r="CB501" s="1047">
        <f t="shared" si="744"/>
        <v>5090.234375</v>
      </c>
      <c r="CC501" s="208">
        <f t="shared" si="761"/>
        <v>306.640625</v>
      </c>
      <c r="CD501" s="208">
        <f t="shared" si="762"/>
        <v>12.776692708333334</v>
      </c>
      <c r="CE501" s="230">
        <f t="shared" si="777"/>
        <v>363.7934316674561</v>
      </c>
      <c r="CF501" s="1058"/>
      <c r="CG501" s="208">
        <f>CC501/(AVERAGE(BY501,BY502)*AVERAGE((D$458,D$456,D$486,D$451,D$493,D$494,D$498,D$465,D$470,D$463))*0.01)</f>
        <v>287.11669007490633</v>
      </c>
      <c r="CH501" s="855">
        <f t="shared" si="725"/>
        <v>0.41104641420911531</v>
      </c>
      <c r="CI501" s="1044"/>
      <c r="CJ501" s="1044"/>
      <c r="CK501" s="1044"/>
      <c r="CL501" s="1044"/>
      <c r="CM501" s="1044"/>
      <c r="CN501" s="1044"/>
    </row>
    <row r="502" spans="1:92">
      <c r="A502" s="1034">
        <f t="shared" si="716"/>
        <v>41657</v>
      </c>
      <c r="B502" s="1035">
        <f>B501</f>
        <v>0.33333333333333398</v>
      </c>
      <c r="C502" s="854">
        <f t="shared" si="742"/>
        <v>24</v>
      </c>
      <c r="D502" s="1044"/>
      <c r="E502" s="1044"/>
      <c r="F502" s="1044"/>
      <c r="G502" s="1044"/>
      <c r="H502" s="1044"/>
      <c r="I502" s="1044"/>
      <c r="J502" s="1044"/>
      <c r="K502" s="1044"/>
      <c r="L502" s="1044"/>
      <c r="M502" s="1044"/>
      <c r="N502" s="1044"/>
      <c r="O502" s="1044"/>
      <c r="P502" s="1044"/>
      <c r="Q502" s="1044"/>
      <c r="R502" s="1044"/>
      <c r="S502" s="1044"/>
      <c r="T502" s="1044"/>
      <c r="U502" s="1044"/>
      <c r="V502" s="1044"/>
      <c r="W502" s="1044"/>
      <c r="X502" s="1044"/>
      <c r="Y502" s="1044"/>
      <c r="Z502" s="1044"/>
      <c r="AA502" s="1044"/>
      <c r="AB502" s="1044"/>
      <c r="AC502" s="1044"/>
      <c r="AD502" s="1044"/>
      <c r="AE502" s="1044"/>
      <c r="AF502" s="1044"/>
      <c r="AG502" s="1044"/>
      <c r="AH502" s="1044"/>
      <c r="AI502" s="1044"/>
      <c r="AJ502" s="1044"/>
      <c r="AK502" s="1044"/>
      <c r="AL502" s="1044">
        <v>35.5</v>
      </c>
      <c r="AM502" s="1059">
        <v>368</v>
      </c>
      <c r="AN502" s="585">
        <f t="shared" si="755"/>
        <v>60.480000000000004</v>
      </c>
      <c r="AO502" s="585">
        <f t="shared" si="756"/>
        <v>23.363095238095237</v>
      </c>
      <c r="AP502" s="1059">
        <v>173</v>
      </c>
      <c r="AQ502" s="76">
        <f t="shared" si="743"/>
        <v>9776.1937500000004</v>
      </c>
      <c r="AR502" s="76">
        <f t="shared" si="757"/>
        <v>905.203125</v>
      </c>
      <c r="AS502" s="230">
        <f t="shared" si="758"/>
        <v>37.716796875</v>
      </c>
      <c r="AT502" s="208">
        <f t="shared" si="775"/>
        <v>1019.8653468967998</v>
      </c>
      <c r="AU502" s="1058"/>
      <c r="AV502" s="230">
        <f t="shared" si="776"/>
        <v>804.90832773136128</v>
      </c>
      <c r="AW502" s="855">
        <f t="shared" si="686"/>
        <v>0.640625</v>
      </c>
      <c r="AX502" s="1044"/>
      <c r="AY502" s="1044"/>
      <c r="AZ502" s="1044"/>
      <c r="BA502" s="1044"/>
      <c r="BB502" s="1044"/>
      <c r="BC502" s="1044"/>
      <c r="BD502" s="1044"/>
      <c r="BE502" s="1044"/>
      <c r="BF502" s="1044"/>
      <c r="BG502" s="1059"/>
      <c r="BH502" s="1059"/>
      <c r="BI502" s="1044"/>
      <c r="BJ502" s="1044"/>
      <c r="BK502" s="1044"/>
      <c r="BL502" s="1044"/>
      <c r="BM502" s="1044"/>
      <c r="BN502" s="1044"/>
      <c r="BO502" s="1044"/>
      <c r="BP502" s="1044"/>
      <c r="BQ502" s="1044"/>
      <c r="BR502" s="1044"/>
      <c r="BS502" s="1044"/>
      <c r="BT502" s="1044"/>
      <c r="BU502" s="1044"/>
      <c r="BV502" s="1044"/>
      <c r="BW502" s="1044">
        <v>50.5</v>
      </c>
      <c r="BX502" s="1044">
        <v>232</v>
      </c>
      <c r="BY502" s="1054">
        <f t="shared" si="759"/>
        <v>32</v>
      </c>
      <c r="BZ502" s="1054">
        <f t="shared" si="760"/>
        <v>23.3125</v>
      </c>
      <c r="CA502" s="1044">
        <v>101</v>
      </c>
      <c r="CB502" s="1047">
        <f t="shared" si="744"/>
        <v>5642.1875</v>
      </c>
      <c r="CC502" s="208">
        <f t="shared" si="761"/>
        <v>551.953125</v>
      </c>
      <c r="CD502" s="208">
        <f t="shared" si="762"/>
        <v>22.998046875</v>
      </c>
      <c r="CE502" s="230">
        <f t="shared" si="777"/>
        <v>873.10423600189461</v>
      </c>
      <c r="CF502" s="1058"/>
      <c r="CG502" s="208">
        <f>CC502/(AVERAGE(BY502,BY503)*AVERAGE((D$458,D$456,D$486,D$451,D$493,D$494,D$498,D$465,D$470,D$463))*0.01)</f>
        <v>689.08005617977528</v>
      </c>
      <c r="CH502" s="855">
        <f t="shared" si="725"/>
        <v>0.73988354557640745</v>
      </c>
      <c r="CI502" s="1044"/>
      <c r="CJ502" s="1044"/>
      <c r="CK502" s="1044"/>
      <c r="CL502" s="1044"/>
      <c r="CM502" s="1044"/>
      <c r="CN502" s="1044"/>
    </row>
    <row r="503" spans="1:92">
      <c r="A503" s="1034">
        <f t="shared" si="716"/>
        <v>41658</v>
      </c>
      <c r="B503" s="1035">
        <f>B501</f>
        <v>0.33333333333333398</v>
      </c>
      <c r="C503" s="854">
        <f t="shared" si="742"/>
        <v>24</v>
      </c>
      <c r="D503" s="1044"/>
      <c r="E503" s="1044"/>
      <c r="F503" s="1044"/>
      <c r="G503" s="1044"/>
      <c r="H503" s="1044"/>
      <c r="I503" s="1044"/>
      <c r="J503" s="1044"/>
      <c r="K503" s="1044"/>
      <c r="L503" s="1044"/>
      <c r="M503" s="1044"/>
      <c r="N503" s="1044"/>
      <c r="O503" s="1044"/>
      <c r="P503" s="1044"/>
      <c r="Q503" s="1044"/>
      <c r="R503" s="1044"/>
      <c r="S503" s="1044"/>
      <c r="T503" s="1044"/>
      <c r="U503" s="1044"/>
      <c r="V503" s="1044"/>
      <c r="W503" s="1044"/>
      <c r="X503" s="1044"/>
      <c r="Y503" s="1044"/>
      <c r="Z503" s="1044"/>
      <c r="AA503" s="1044"/>
      <c r="AB503" s="1044"/>
      <c r="AC503" s="1044"/>
      <c r="AD503" s="1044"/>
      <c r="AE503" s="1044"/>
      <c r="AF503" s="1044"/>
      <c r="AG503" s="1044"/>
      <c r="AH503" s="1044"/>
      <c r="AI503" s="1044"/>
      <c r="AJ503" s="1044"/>
      <c r="AK503" s="1044"/>
      <c r="AL503" s="1044">
        <v>35.700000000000003</v>
      </c>
      <c r="AM503" s="1059">
        <v>379</v>
      </c>
      <c r="AN503" s="585">
        <f t="shared" si="755"/>
        <v>23.76</v>
      </c>
      <c r="AO503" s="585">
        <f t="shared" si="756"/>
        <v>59.469696969696969</v>
      </c>
      <c r="AP503" s="1059">
        <v>186</v>
      </c>
      <c r="AQ503" s="76">
        <f t="shared" si="743"/>
        <v>10560.703125</v>
      </c>
      <c r="AR503" s="76">
        <f t="shared" si="757"/>
        <v>784.50937499999964</v>
      </c>
      <c r="AS503" s="230">
        <f t="shared" si="758"/>
        <v>32.687890624999987</v>
      </c>
      <c r="AT503" s="208">
        <f t="shared" si="775"/>
        <v>801.6615982584143</v>
      </c>
      <c r="AU503" s="1058"/>
      <c r="AV503" s="230">
        <f t="shared" si="776"/>
        <v>632.6953831934884</v>
      </c>
      <c r="AW503" s="855">
        <f t="shared" si="686"/>
        <v>0.55520833333333308</v>
      </c>
      <c r="AX503" s="1044"/>
      <c r="AY503" s="1044"/>
      <c r="AZ503" s="1044"/>
      <c r="BA503" s="1044"/>
      <c r="BB503" s="1044"/>
      <c r="BC503" s="1044"/>
      <c r="BD503" s="1044"/>
      <c r="BE503" s="1044"/>
      <c r="BF503" s="1044"/>
      <c r="BG503" s="1059"/>
      <c r="BH503" s="1059"/>
      <c r="BI503" s="1044"/>
      <c r="BJ503" s="1044"/>
      <c r="BK503" s="1044"/>
      <c r="BL503" s="1044"/>
      <c r="BM503" s="1044"/>
      <c r="BN503" s="1044"/>
      <c r="BO503" s="1044"/>
      <c r="BP503" s="1044"/>
      <c r="BQ503" s="1044"/>
      <c r="BR503" s="1044"/>
      <c r="BS503" s="1044"/>
      <c r="BT503" s="1044"/>
      <c r="BU503" s="1044"/>
      <c r="BV503" s="1044"/>
      <c r="BW503" s="1044">
        <v>50.6</v>
      </c>
      <c r="BX503" s="1044">
        <v>246</v>
      </c>
      <c r="BY503" s="1054">
        <f t="shared" si="759"/>
        <v>28</v>
      </c>
      <c r="BZ503" s="1054">
        <f t="shared" si="760"/>
        <v>26.642857142857142</v>
      </c>
      <c r="CA503" s="1044">
        <v>110</v>
      </c>
      <c r="CB503" s="1047">
        <f t="shared" si="744"/>
        <v>6194.140625</v>
      </c>
      <c r="CC503" s="208">
        <f t="shared" si="761"/>
        <v>551.953125</v>
      </c>
      <c r="CD503" s="208">
        <f t="shared" si="762"/>
        <v>22.998046875</v>
      </c>
      <c r="CE503" s="230">
        <f t="shared" si="777"/>
        <v>1138.8316121763842</v>
      </c>
      <c r="CF503" s="1058"/>
      <c r="CG503" s="208">
        <f>CC503/(AVERAGE(BY503,BY504)*AVERAGE((D$458,D$456,D$486,D$451,D$493,D$494,D$498,D$465,D$470,D$463))*0.01)</f>
        <v>898.80007327796784</v>
      </c>
      <c r="CH503" s="855">
        <f t="shared" si="725"/>
        <v>0.73988354557640745</v>
      </c>
      <c r="CI503" s="1044"/>
      <c r="CJ503" s="1044"/>
      <c r="CK503" s="1044"/>
      <c r="CL503" s="1044"/>
      <c r="CM503" s="1044"/>
      <c r="CN503" s="1044"/>
    </row>
    <row r="504" spans="1:92">
      <c r="A504" s="1034">
        <f t="shared" si="716"/>
        <v>41659</v>
      </c>
      <c r="B504" s="1035">
        <f>B501</f>
        <v>0.33333333333333398</v>
      </c>
      <c r="C504" s="854">
        <f t="shared" si="742"/>
        <v>24</v>
      </c>
      <c r="D504" s="1044"/>
      <c r="E504" s="1044"/>
      <c r="F504" s="1044"/>
      <c r="G504" s="1044"/>
      <c r="H504" s="1044"/>
      <c r="I504" s="1044"/>
      <c r="J504" s="1044"/>
      <c r="K504" s="1044"/>
      <c r="L504" s="1044"/>
      <c r="M504" s="1044"/>
      <c r="N504" s="1044"/>
      <c r="O504" s="1044"/>
      <c r="P504" s="1044"/>
      <c r="Q504" s="1044"/>
      <c r="R504" s="1044"/>
      <c r="S504" s="1044"/>
      <c r="T504" s="1044"/>
      <c r="U504" s="1044"/>
      <c r="V504" s="1044"/>
      <c r="W504" s="1044"/>
      <c r="X504" s="1044"/>
      <c r="Y504" s="1044"/>
      <c r="Z504" s="1044"/>
      <c r="AA504" s="1044"/>
      <c r="AB504" s="1044"/>
      <c r="AC504" s="1044"/>
      <c r="AD504" s="1044"/>
      <c r="AE504" s="1044"/>
      <c r="AF504" s="1044"/>
      <c r="AG504" s="1044"/>
      <c r="AH504" s="1044"/>
      <c r="AI504" s="1044"/>
      <c r="AJ504" s="1044"/>
      <c r="AK504" s="1044"/>
      <c r="AL504" s="1044">
        <v>35.6</v>
      </c>
      <c r="AM504" s="1044">
        <v>411</v>
      </c>
      <c r="AN504" s="208">
        <f t="shared" si="755"/>
        <v>69.12</v>
      </c>
      <c r="AO504" s="208">
        <f t="shared" si="756"/>
        <v>20.442708333333332</v>
      </c>
      <c r="AP504" s="1044">
        <v>202</v>
      </c>
      <c r="AQ504" s="76">
        <f t="shared" si="743"/>
        <v>11526.253125000001</v>
      </c>
      <c r="AR504" s="76">
        <f t="shared" si="757"/>
        <v>965.55000000000109</v>
      </c>
      <c r="AS504" s="230">
        <f t="shared" si="758"/>
        <v>40.231250000000045</v>
      </c>
      <c r="AT504" s="208">
        <f t="shared" si="775"/>
        <v>800.49808360201735</v>
      </c>
      <c r="AU504" s="1058"/>
      <c r="AV504" s="230">
        <f t="shared" si="776"/>
        <v>631.77710252122017</v>
      </c>
      <c r="AW504" s="855">
        <f t="shared" si="686"/>
        <v>0.68333333333333413</v>
      </c>
      <c r="AX504" s="1044"/>
      <c r="AY504" s="1044"/>
      <c r="AZ504" s="1044"/>
      <c r="BA504" s="1044"/>
      <c r="BB504" s="1044"/>
      <c r="BC504" s="1044"/>
      <c r="BD504" s="1044"/>
      <c r="BE504" s="1044"/>
      <c r="BF504" s="1044"/>
      <c r="BG504" s="1059"/>
      <c r="BH504" s="1059"/>
      <c r="BI504" s="1044"/>
      <c r="BJ504" s="1044"/>
      <c r="BK504" s="1044"/>
      <c r="BL504" s="1044"/>
      <c r="BM504" s="1044"/>
      <c r="BN504" s="1044"/>
      <c r="BO504" s="1044"/>
      <c r="BP504" s="1044"/>
      <c r="BQ504" s="1044"/>
      <c r="BR504" s="1044"/>
      <c r="BS504" s="1044"/>
      <c r="BT504" s="1044"/>
      <c r="BU504" s="1044"/>
      <c r="BV504" s="1044"/>
      <c r="BW504" s="1044">
        <v>50.5</v>
      </c>
      <c r="BX504" s="1044">
        <v>255</v>
      </c>
      <c r="BY504" s="1054">
        <f t="shared" si="759"/>
        <v>18</v>
      </c>
      <c r="BZ504" s="1054">
        <f t="shared" si="760"/>
        <v>41.444444444444443</v>
      </c>
      <c r="CA504" s="1044">
        <v>118</v>
      </c>
      <c r="CB504" s="1047">
        <f t="shared" si="744"/>
        <v>6684.765625</v>
      </c>
      <c r="CC504" s="208">
        <f t="shared" si="761"/>
        <v>490.625</v>
      </c>
      <c r="CD504" s="208">
        <f t="shared" si="762"/>
        <v>20.442708333333332</v>
      </c>
      <c r="CE504" s="230">
        <f t="shared" si="777"/>
        <v>895.49152410450722</v>
      </c>
      <c r="CF504" s="1058"/>
      <c r="CG504" s="208">
        <f>CC504/(AVERAGE(BY504,BY505)*AVERAGE((D$458,D$456,D$486,D$451,D$493,D$494,D$498,D$465,D$470,D$463))*0.01)</f>
        <v>706.74877556900026</v>
      </c>
      <c r="CH504" s="855">
        <f t="shared" si="725"/>
        <v>0.6576742627345844</v>
      </c>
      <c r="CI504" s="1044"/>
      <c r="CJ504" s="1044"/>
      <c r="CK504" s="1044"/>
      <c r="CL504" s="1044"/>
      <c r="CM504" s="1044"/>
      <c r="CN504" s="1044"/>
    </row>
    <row r="505" spans="1:92" s="337" customFormat="1">
      <c r="A505" s="1036">
        <f t="shared" si="716"/>
        <v>41660</v>
      </c>
      <c r="B505" s="1037">
        <f>B501</f>
        <v>0.33333333333333398</v>
      </c>
      <c r="C505" s="847">
        <f t="shared" si="742"/>
        <v>24</v>
      </c>
      <c r="D505" s="1075">
        <v>3.2166739883828783</v>
      </c>
      <c r="E505" s="1075">
        <v>74.962063732928613</v>
      </c>
      <c r="F505" s="1023"/>
      <c r="G505" s="1023"/>
      <c r="H505" s="1023"/>
      <c r="I505" s="1023"/>
      <c r="J505" s="1023"/>
      <c r="K505" s="1023"/>
      <c r="L505" s="1023"/>
      <c r="M505" s="1023"/>
      <c r="N505" s="1023"/>
      <c r="O505" s="1023"/>
      <c r="P505" s="1023"/>
      <c r="Q505" s="1023"/>
      <c r="R505" s="1023"/>
      <c r="S505" s="1023"/>
      <c r="T505" s="1023"/>
      <c r="U505" s="1023"/>
      <c r="V505" s="1075">
        <v>1.7654315735738313</v>
      </c>
      <c r="W505" s="1075">
        <v>66.265060240963763</v>
      </c>
      <c r="X505" s="1023"/>
      <c r="Y505" s="1023"/>
      <c r="Z505" s="1023"/>
      <c r="AA505" s="1023"/>
      <c r="AB505" s="1023"/>
      <c r="AC505" s="1023"/>
      <c r="AD505" s="1021">
        <f>D498*(100-E498)/(100-W505)</f>
        <v>0.93758578571428264</v>
      </c>
      <c r="AE505" s="1055">
        <f>D498-V505</f>
        <v>0.65456842642616864</v>
      </c>
      <c r="AF505" s="847">
        <f>100*(AVERAGE(D$458,D$456,D$486,D$505,D$493,D$494,D$498,D$465,D$470,D$463)-V505)/AVERAGE(D$458,D$456,D$486,D$505,D$493,D$494,D$498,D$465,D$470,D$463)</f>
        <v>32.659971499202051</v>
      </c>
      <c r="AG505" s="847">
        <f>100*(1-((100-AVERAGE(E$458,E$456,E$486,E$505,E$493,E$494,E$498,E$465,E$470,E$463))/(100-W505)))</f>
        <v>37.006576035118265</v>
      </c>
      <c r="AH505" s="1055">
        <f>E498-W505</f>
        <v>20.664939759036244</v>
      </c>
      <c r="AI505" s="847">
        <f>100*(1-((V505*W505)/(AVERAGE(D$458,D$456,D$486,D$505,D$493,D$494,D$498,D$465,D$470,D$463)*AVERAGE(E$458,E$456,E$486,E$505,E$493,E$494,E$498,E$465,E$470,E$463))))</f>
        <v>43.335415672875364</v>
      </c>
      <c r="AJ505" s="847">
        <f>100*100*((AVERAGE(E$458,E$456,E$486,E$505,E$493,E$494,E$498,E$465,E$470,E$463)-W505)/((100-W505)*AVERAGE(E$458,E$456,E$486,E$505,E$493,E$494,E$498,E$465,E$470,E$463)))</f>
        <v>46.992951090449004</v>
      </c>
      <c r="AK505" s="1023"/>
      <c r="AL505" s="1023">
        <v>35.6</v>
      </c>
      <c r="AM505" s="1023">
        <v>432</v>
      </c>
      <c r="AN505" s="334">
        <f t="shared" ref="AN505:AN518" si="778">(AM505-AM504)*AQ$1/((C504)/24)</f>
        <v>45.36</v>
      </c>
      <c r="AO505" s="334">
        <f t="shared" ref="AO505:AO518" si="779">AQ$3/AN505</f>
        <v>31.150793650793652</v>
      </c>
      <c r="AP505" s="1023">
        <v>220</v>
      </c>
      <c r="AQ505" s="348">
        <f t="shared" si="743"/>
        <v>12612.496875000001</v>
      </c>
      <c r="AR505" s="348">
        <f t="shared" ref="AR505:AR518" si="780">(AQ505-AQ504)/(C505/24)</f>
        <v>1086.2437499999996</v>
      </c>
      <c r="AS505" s="512">
        <f t="shared" ref="AS505:AS518" si="781">(AQ505-AQ504)/C505</f>
        <v>45.260156249999987</v>
      </c>
      <c r="AT505" s="334">
        <f>AR505/(AVERAGE(AN505,AN506)*(AVERAGE(D$458,D$456,D$486,D$505,D$493,D$494,D$498,D$465,D$470,D$463))*AVERAGE(E$458,E$456,E$486,E$505,E$493,E$494,E$498,E$465,E$470,E$463)*0.0001)</f>
        <v>974.33824867922408</v>
      </c>
      <c r="AU505" s="334">
        <f>(AQ505-AQ499)/(AVERAGE(AN499:AN505)*((AVERAGE(D$458,D$456,D$486,D$505,D$493,D$494,D$498,D$465,D$470,D$463)*AVERAGE(E$458,E$456,E$486,E$505,E$493,E$494,E$498,E$465,E$470,E$463))-(V505*W505))*0.0001*(SUM(C499:C505)/24))</f>
        <v>1715.5733079679769</v>
      </c>
      <c r="AV505" s="512">
        <f>AR505/(AVERAGE(AN506,AN505)*AVERAGE(D$458,D$456,D$486,D$505,D$493,D$494,D$498,D$465,D$470,D$463)*0.01)</f>
        <v>767.28363822632957</v>
      </c>
      <c r="AW505" s="848">
        <f t="shared" ref="AW505:AW568" si="782">AR505/AQ$3</f>
        <v>0.76874999999999971</v>
      </c>
      <c r="AX505" s="1023"/>
      <c r="AY505" s="1023"/>
      <c r="AZ505" s="1023"/>
      <c r="BA505" s="1023"/>
      <c r="BB505" s="1023"/>
      <c r="BC505" s="1023"/>
      <c r="BD505" s="1023"/>
      <c r="BE505" s="1023"/>
      <c r="BF505" s="1023"/>
      <c r="BG505" s="1075">
        <v>1.7382906808305199</v>
      </c>
      <c r="BH505" s="1075">
        <v>64.898989898989598</v>
      </c>
      <c r="BI505" s="1023"/>
      <c r="BJ505" s="1023"/>
      <c r="BK505" s="1023"/>
      <c r="BL505" s="1023"/>
      <c r="BM505" s="1023"/>
      <c r="BN505" s="1023"/>
      <c r="BO505" s="847">
        <f>D498*(100-E498)/(100-BH505)</f>
        <v>0.90109657553956013</v>
      </c>
      <c r="BP505" s="1055">
        <f>D498-BG505</f>
        <v>0.68170931916948008</v>
      </c>
      <c r="BQ505" s="1056">
        <f>100*(AVERAGE(D$458,D$456,D$486,D$505,D$493,D$494,D$498,D$465,D$470,D$463)-BG505)/AVERAGE(D$458,D$456,D$486,D$505,D$493,D$494,D$498,D$465,D$470,D$463)</f>
        <v>33.695224588718212</v>
      </c>
      <c r="BR505" s="1056">
        <f>100*(1-((100-AVERAGE(E$458,E$456,E$486,E$505,E$493,E$494,E$498,E$465,E$470,E$463))/(100-BH505)))</f>
        <v>39.458170674993099</v>
      </c>
      <c r="BS505" s="1055">
        <f>E498-BH505</f>
        <v>22.031010101010409</v>
      </c>
      <c r="BT505" s="1055">
        <f>100*(1-((BG505*BH505)/(AVERAGE(D$458,D$456,D$486,D$505,D$493,D$494,D$498,D$465,D$470,D$463)*AVERAGE(E$458,E$456,E$486,E$505,E$493,E$494,E$498,E$465,E$470,E$463))))</f>
        <v>45.356745193423095</v>
      </c>
      <c r="BU505" s="847">
        <f>100*100*((AVERAGE(E$458,E$456,E$486,E$505,E$493,E$494,E$498,E$465,E$470,E$463)-BH505)/((100-BH505)*AVERAGE(E$458,E$456,E$486,E$505,E$493,E$494,E$498,E$465,E$470,E$463)))</f>
        <v>50.106118514960698</v>
      </c>
      <c r="BV505" s="1023"/>
      <c r="BW505" s="1023">
        <v>50.5</v>
      </c>
      <c r="BX505" s="1023">
        <v>272</v>
      </c>
      <c r="BY505" s="1056">
        <f t="shared" ref="BY505:BY518" si="783">(BX505-BX504)*CB$1/((C505)/24)</f>
        <v>34</v>
      </c>
      <c r="BZ505" s="1056">
        <f t="shared" ref="BZ505:BZ518" si="784">CB$3/BY505</f>
        <v>21.941176470588236</v>
      </c>
      <c r="CA505" s="1023">
        <v>127</v>
      </c>
      <c r="CB505" s="1057">
        <f t="shared" si="744"/>
        <v>7236.71875</v>
      </c>
      <c r="CC505" s="334">
        <f t="shared" ref="CC505:CC518" si="785">(CB505-CB504)/((C505/24))</f>
        <v>551.953125</v>
      </c>
      <c r="CD505" s="334">
        <f t="shared" ref="CD505:CD518" si="786">(CB505-CB504)/(C505)</f>
        <v>22.998046875</v>
      </c>
      <c r="CE505" s="512">
        <f>CC505/(AVERAGE(BY506,BY505)*(AVERAGE(D$458,D$456,D$486,D$505,D$493,D$494,D$498,D$465,D$470,D$463))*AVERAGE(E$458,E$456,E$486,E$505,E$493,E$494,E$498,E$465,E$470,E$463)*0.0001)</f>
        <v>990.18114703173217</v>
      </c>
      <c r="CF505" s="334">
        <f>(CB505-CB499)/(AVERAGE(BY499:BY505)*((AVERAGE(D$458,D$456,D$486,D$505,D$493,D$494,D$498,D$465,D$470,D$463)*AVERAGE(E$458,E$456,E$486,E$505,E$493,E$494,E$498,E$465,E$470,E$463))-(BG505*BH505))*0.0001*(SUM(C499:C505)/24))</f>
        <v>1494.2548133046278</v>
      </c>
      <c r="CG505" s="334">
        <f>CC505/(AVERAGE(BY505,BY506)*AVERAGE((D$458,D$456,D$486,D$505,D$493,D$494,D$498,D$465,D$470,D$463))*0.01)</f>
        <v>779.75979494545709</v>
      </c>
      <c r="CH505" s="848">
        <f t="shared" ref="CH505:CH568" si="787">CC505/CB$3</f>
        <v>0.73988354557640745</v>
      </c>
      <c r="CI505" s="1023"/>
      <c r="CJ505" s="1023"/>
      <c r="CK505" s="1023"/>
      <c r="CL505" s="1023"/>
      <c r="CM505" s="1023"/>
      <c r="CN505" s="1023"/>
    </row>
    <row r="506" spans="1:92">
      <c r="A506" s="1034">
        <f t="shared" si="716"/>
        <v>41661</v>
      </c>
      <c r="B506" s="1035">
        <f>B501</f>
        <v>0.33333333333333398</v>
      </c>
      <c r="C506" s="854">
        <f t="shared" si="742"/>
        <v>24</v>
      </c>
      <c r="D506" s="1044"/>
      <c r="E506" s="1044"/>
      <c r="F506" s="1044"/>
      <c r="G506" s="1044"/>
      <c r="H506" s="1044"/>
      <c r="I506" s="1044"/>
      <c r="J506" s="1044"/>
      <c r="K506" s="1044"/>
      <c r="L506" s="1044"/>
      <c r="M506" s="1044"/>
      <c r="N506" s="1044"/>
      <c r="O506" s="1044"/>
      <c r="P506" s="1044"/>
      <c r="Q506" s="1044"/>
      <c r="R506" s="1044"/>
      <c r="S506" s="1044"/>
      <c r="T506" s="1044"/>
      <c r="U506" s="1044"/>
      <c r="V506" s="1044"/>
      <c r="W506" s="1044"/>
      <c r="X506" s="1044"/>
      <c r="Y506" s="1044"/>
      <c r="Z506" s="1044"/>
      <c r="AA506" s="1044"/>
      <c r="AB506" s="1044"/>
      <c r="AC506" s="1044"/>
      <c r="AD506" s="1044"/>
      <c r="AE506" s="1044"/>
      <c r="AF506" s="1044"/>
      <c r="AG506" s="1044"/>
      <c r="AH506" s="1044"/>
      <c r="AI506" s="1044"/>
      <c r="AJ506" s="1044"/>
      <c r="AK506" s="1044"/>
      <c r="AL506" s="1044">
        <v>35.5</v>
      </c>
      <c r="AM506" s="1044">
        <v>461</v>
      </c>
      <c r="AN506" s="208">
        <f t="shared" si="778"/>
        <v>62.64</v>
      </c>
      <c r="AO506" s="208">
        <f t="shared" si="779"/>
        <v>22.557471264367816</v>
      </c>
      <c r="AP506" s="1044">
        <v>236</v>
      </c>
      <c r="AQ506" s="76">
        <f t="shared" si="743"/>
        <v>13578.046875000002</v>
      </c>
      <c r="AR506" s="76">
        <f t="shared" si="780"/>
        <v>965.55000000000109</v>
      </c>
      <c r="AS506" s="230">
        <f t="shared" si="781"/>
        <v>40.231250000000045</v>
      </c>
      <c r="AT506" s="208">
        <f t="shared" ref="AT506" si="788">AR506/(AVERAGE(AN506,AN507)*(AVERAGE(D$458,D$456,D$486,D$505,D$493,D$494,D$498,D$465,D$470,D$463))*AVERAGE(E$458,E$456,E$486,E$505,E$493,E$494,E$498,E$465,E$470,E$463)*0.0001)</f>
        <v>902.16504507335696</v>
      </c>
      <c r="AU506" s="1058"/>
      <c r="AV506" s="230">
        <f t="shared" ref="AV506" si="789">AR506/(AVERAGE(AN507,AN506)*AVERAGE(D$458,D$456,D$486,D$505,D$493,D$494,D$498,D$465,D$470,D$463)*0.01)</f>
        <v>710.4478131725283</v>
      </c>
      <c r="AW506" s="855">
        <f t="shared" si="782"/>
        <v>0.68333333333333413</v>
      </c>
      <c r="AX506" s="1044"/>
      <c r="AY506" s="1044"/>
      <c r="AZ506" s="1044"/>
      <c r="BA506" s="1044"/>
      <c r="BB506" s="1044"/>
      <c r="BC506" s="1044"/>
      <c r="BD506" s="1044"/>
      <c r="BE506" s="1044"/>
      <c r="BF506" s="1044"/>
      <c r="BG506" s="1044"/>
      <c r="BH506" s="1044"/>
      <c r="BI506" s="1044"/>
      <c r="BJ506" s="1044"/>
      <c r="BK506" s="1044"/>
      <c r="BL506" s="1044"/>
      <c r="BM506" s="1044"/>
      <c r="BN506" s="1044"/>
      <c r="BO506" s="1044"/>
      <c r="BP506" s="1044"/>
      <c r="BQ506" s="1044"/>
      <c r="BR506" s="1044"/>
      <c r="BS506" s="1044"/>
      <c r="BT506" s="1044"/>
      <c r="BU506" s="1044"/>
      <c r="BV506" s="1044"/>
      <c r="BW506" s="1044">
        <v>50.7</v>
      </c>
      <c r="BX506" s="1044">
        <v>282</v>
      </c>
      <c r="BY506" s="1054">
        <f t="shared" si="783"/>
        <v>20</v>
      </c>
      <c r="BZ506" s="1054">
        <f t="shared" si="784"/>
        <v>37.299999999999997</v>
      </c>
      <c r="CA506" s="1044">
        <v>136</v>
      </c>
      <c r="CB506" s="1047">
        <f t="shared" si="744"/>
        <v>7788.671875</v>
      </c>
      <c r="CC506" s="208">
        <f t="shared" si="785"/>
        <v>551.953125</v>
      </c>
      <c r="CD506" s="208">
        <f t="shared" si="786"/>
        <v>22.998046875</v>
      </c>
      <c r="CE506" s="230">
        <f t="shared" ref="CE506" si="790">CC506/(AVERAGE(BY507,BY506)*(AVERAGE(D$458,D$456,D$486,D$505,D$493,D$494,D$498,D$465,D$470,D$463))*AVERAGE(E$458,E$456,E$486,E$505,E$493,E$494,E$498,E$465,E$470,E$463)*0.0001)</f>
        <v>891.16303232855921</v>
      </c>
      <c r="CF506" s="1058"/>
      <c r="CG506" s="208">
        <f>CC506/(AVERAGE(BY506,BY507)*AVERAGE((D$458,D$456,D$486,D$505,D$493,D$494,D$498,D$465,D$470,D$463))*0.01)</f>
        <v>701.78381545091145</v>
      </c>
      <c r="CH506" s="855">
        <f t="shared" si="787"/>
        <v>0.73988354557640745</v>
      </c>
      <c r="CI506" s="1044"/>
      <c r="CJ506" s="1044"/>
      <c r="CK506" s="1044"/>
      <c r="CL506" s="1044"/>
      <c r="CM506" s="1044"/>
      <c r="CN506" s="1044"/>
    </row>
    <row r="507" spans="1:92" s="337" customFormat="1">
      <c r="A507" s="1036">
        <f t="shared" si="716"/>
        <v>41662</v>
      </c>
      <c r="B507" s="1037">
        <f>B506</f>
        <v>0.33333333333333398</v>
      </c>
      <c r="C507" s="847">
        <f t="shared" si="742"/>
        <v>24</v>
      </c>
      <c r="D507" s="1023">
        <v>3.1</v>
      </c>
      <c r="E507" s="1023">
        <v>77.099999999999994</v>
      </c>
      <c r="F507" s="1023">
        <v>37400</v>
      </c>
      <c r="G507" s="1023"/>
      <c r="H507" s="1023">
        <v>41.1</v>
      </c>
      <c r="I507" s="1023">
        <v>4165</v>
      </c>
      <c r="J507" s="1023">
        <v>1991</v>
      </c>
      <c r="K507" s="1023">
        <v>27.8</v>
      </c>
      <c r="L507" s="1023">
        <v>158</v>
      </c>
      <c r="M507" s="1023"/>
      <c r="N507" s="1023"/>
      <c r="O507" s="1023"/>
      <c r="P507" s="1023"/>
      <c r="Q507" s="1023"/>
      <c r="R507" s="1023"/>
      <c r="S507" s="1023"/>
      <c r="T507" s="1023"/>
      <c r="U507" s="1023"/>
      <c r="V507" s="1023">
        <v>1.7</v>
      </c>
      <c r="W507" s="1023">
        <v>64.099999999999994</v>
      </c>
      <c r="X507" s="1023">
        <v>17600</v>
      </c>
      <c r="Y507" s="1023">
        <v>35.299999999999997</v>
      </c>
      <c r="Z507" s="1023">
        <v>1028</v>
      </c>
      <c r="AA507" s="1023">
        <v>304</v>
      </c>
      <c r="AB507" s="1023">
        <v>57.7</v>
      </c>
      <c r="AC507" s="1023">
        <v>167</v>
      </c>
      <c r="AD507" s="1021">
        <f>D505*(100-E505)/(100-W507)</f>
        <v>2.2434227942361233</v>
      </c>
      <c r="AE507" s="1055">
        <f>D505-V507</f>
        <v>1.5166739883828784</v>
      </c>
      <c r="AF507" s="847">
        <f>100*(AVERAGE(D$458,D$507,D$486,D$505,D$493,D$494,D$498,D$465,D$470,D$463)-V507)/AVERAGE(D$458,D$507,D$486,D$505,D$493,D$494,D$498,D$465,D$470,D$463)</f>
        <v>34.982170169891582</v>
      </c>
      <c r="AG507" s="847">
        <f>100*(1-((100-AVERAGE(E$458,E$507,E$486,E$505,E$493,E$494,E$498,E$465,E$470,E$463))/(100-W507)))</f>
        <v>40.724808839255864</v>
      </c>
      <c r="AH507" s="1055">
        <f>E505-W507</f>
        <v>10.862063732928618</v>
      </c>
      <c r="AI507" s="847">
        <f>100*(1-((V507*W507)/(AVERAGE(D$458,D$507,D$486,D$505,D$493,D$494,D$498,D$465,D$470,D$463)*AVERAGE(E$458,E$507,E$486,E$505,E$493,E$494,E$498,E$465,E$470,E$463))))</f>
        <v>47.057520754621763</v>
      </c>
      <c r="AJ507" s="847">
        <f>100*100*((AVERAGE(E$458,E$507,E$486,E$505,E$493,E$494,E$498,E$465,E$470,E$463)-W507)/((100-W507)*AVERAGE(E$458,E$507,E$486,E$505,E$493,E$494,E$498,E$465,E$470,E$463)))</f>
        <v>51.733615440663321</v>
      </c>
      <c r="AK507" s="1023"/>
      <c r="AL507" s="1023">
        <v>35.5</v>
      </c>
      <c r="AM507" s="1023">
        <v>480</v>
      </c>
      <c r="AN507" s="334">
        <f t="shared" si="778"/>
        <v>41.040000000000006</v>
      </c>
      <c r="AO507" s="334">
        <f t="shared" si="779"/>
        <v>34.429824561403507</v>
      </c>
      <c r="AP507" s="1023">
        <v>251</v>
      </c>
      <c r="AQ507" s="348">
        <f t="shared" si="743"/>
        <v>14483.250000000002</v>
      </c>
      <c r="AR507" s="348">
        <f t="shared" si="780"/>
        <v>905.203125</v>
      </c>
      <c r="AS507" s="512">
        <f t="shared" si="781"/>
        <v>37.716796875</v>
      </c>
      <c r="AT507" s="334">
        <f>AR507/(AVERAGE(AN507,AN508)*(AVERAGE(D$458,D$507,D$486,D$505,D$493,D$494,D$498,D$465,D$470,D$463))*AVERAGE(E$458,E$507,E$486,E$505,E$493,E$494,E$498,E$465,E$470,E$463)*0.0001)</f>
        <v>1404.1762246467597</v>
      </c>
      <c r="AU507" s="334">
        <f>(AQ507-AQ501)/(AVERAGE(AN501:AN507)*((AVERAGE(D$458,D$507,D$486,D$505,D$493,D$494,D$498,D$465,D$470,D$463)*AVERAGE(E$458,E$507,E$486,E$505,E$493,E$494,E$498,E$465,E$470,E$463))-(V507*W507))*0.0001*(SUM(C501:C507)/24))</f>
        <v>1719.6009099596383</v>
      </c>
      <c r="AV507" s="512">
        <f>AR507/(AVERAGE(AN508,AN507)*AVERAGE(D$458,D$507,D$486,D$505,D$493,D$494,D$498,D$465,D$470,D$463)*0.01)</f>
        <v>1105.3704218866417</v>
      </c>
      <c r="AW507" s="848">
        <f t="shared" si="782"/>
        <v>0.640625</v>
      </c>
      <c r="AX507" s="1023"/>
      <c r="AY507" s="1023"/>
      <c r="AZ507" s="1023"/>
      <c r="BA507" s="1023"/>
      <c r="BB507" s="1023"/>
      <c r="BC507" s="1023"/>
      <c r="BD507" s="1023"/>
      <c r="BE507" s="1023"/>
      <c r="BF507" s="1023"/>
      <c r="BG507" s="1023">
        <v>1.6</v>
      </c>
      <c r="BH507" s="1023">
        <v>64.400000000000006</v>
      </c>
      <c r="BI507" s="1023">
        <v>18400</v>
      </c>
      <c r="BJ507" s="1023">
        <v>35.799999999999997</v>
      </c>
      <c r="BK507" s="1023">
        <v>1845</v>
      </c>
      <c r="BL507" s="1023">
        <v>480</v>
      </c>
      <c r="BM507" s="1023">
        <v>64.3</v>
      </c>
      <c r="BN507" s="1023">
        <v>137</v>
      </c>
      <c r="BO507" s="847">
        <f>D505*(100-E505)/(100-BH507)</f>
        <v>2.2623280425021588</v>
      </c>
      <c r="BP507" s="1055">
        <f>D505-BG507</f>
        <v>1.6166739883828782</v>
      </c>
      <c r="BQ507" s="1056">
        <f>100*(AVERAGE(D$458,D$507,D$486,D$505,D$493,D$494,D$498,D$465,D$470,D$463)-BG507)/AVERAGE(D$458,D$507,D$486,D$505,D$493,D$494,D$498,D$465,D$470,D$463)</f>
        <v>38.806748395192074</v>
      </c>
      <c r="BR507" s="1056">
        <f>100*(1-((100-AVERAGE(E$458,E$507,E$486,E$505,E$493,E$494,E$498,E$465,E$470,E$463))/(100-BH507)))</f>
        <v>40.225298801384412</v>
      </c>
      <c r="BS507" s="1055">
        <f>E505-BH507</f>
        <v>10.562063732928607</v>
      </c>
      <c r="BT507" s="1055">
        <f>100*(1-((BG507*BH507)/(AVERAGE(D$458,D$507,D$486,D$505,D$493,D$494,D$498,D$465,D$470,D$463)*AVERAGE(E$458,E$507,E$486,E$505,E$493,E$494,E$498,E$465,E$470,E$463))))</f>
        <v>49.9385788616704</v>
      </c>
      <c r="BU507" s="847">
        <f>100*100*((AVERAGE(E$458,E$507,E$486,E$505,E$493,E$494,E$498,E$465,E$470,E$463)-BH507)/((100-BH507)*AVERAGE(E$458,E$507,E$486,E$505,E$493,E$494,E$498,E$465,E$470,E$463)))</f>
        <v>51.09907691379162</v>
      </c>
      <c r="BV507" s="1023"/>
      <c r="BW507" s="1023">
        <v>50.7</v>
      </c>
      <c r="BX507" s="1023">
        <v>302</v>
      </c>
      <c r="BY507" s="1056">
        <f t="shared" si="783"/>
        <v>40</v>
      </c>
      <c r="BZ507" s="1077">
        <f t="shared" si="784"/>
        <v>18.649999999999999</v>
      </c>
      <c r="CA507" s="1023">
        <v>146</v>
      </c>
      <c r="CB507" s="1057">
        <f t="shared" si="744"/>
        <v>8401.953125</v>
      </c>
      <c r="CC507" s="334">
        <f t="shared" si="785"/>
        <v>613.28125</v>
      </c>
      <c r="CD507" s="334">
        <f t="shared" si="786"/>
        <v>25.553385416666668</v>
      </c>
      <c r="CE507" s="512">
        <f>CC507/(AVERAGE(BY508,BY507)*(AVERAGE(D$458,D$507,D$486,D$505,D$493,D$494,D$498,D$465,D$470,D$463))*AVERAGE(E$458,E$507,E$486,E$505,E$493,E$494,E$498,E$465,E$470,E$463)*0.0001)</f>
        <v>1145.9974816535473</v>
      </c>
      <c r="CF507" s="334">
        <f>(CB507-CB501)/(AVERAGE(BY501:BY507)*((AVERAGE(D$458,D$507,D$486,D$505,D$493,D$494,D$498,D$465,D$470,D$463)*AVERAGE(E$458,E$507,E$486,E$505,E$493,E$494,E$498,E$465,E$470,E$463))-(BG507*BH507))*0.0001*(SUM(C501:C507)/24))</f>
        <v>1464.5085485898474</v>
      </c>
      <c r="CG507" s="334">
        <f>CC507/(AVERAGE(BY507,BY508)*AVERAGE((D$458,D$507,D$486,D$505,D$493,D$494,D$498,D$465,D$470,D$463))*0.01)</f>
        <v>902.13158259041131</v>
      </c>
      <c r="CH507" s="848">
        <f t="shared" si="787"/>
        <v>0.82209282841823061</v>
      </c>
      <c r="CI507" s="1023"/>
      <c r="CJ507" s="1023"/>
      <c r="CK507" s="1023"/>
      <c r="CL507" s="1023"/>
      <c r="CM507" s="1023"/>
      <c r="CN507" s="1023"/>
    </row>
    <row r="508" spans="1:92">
      <c r="A508" s="1034">
        <f t="shared" si="716"/>
        <v>41663</v>
      </c>
      <c r="B508" s="1035">
        <f t="shared" ref="B508:B535" si="791">B507</f>
        <v>0.33333333333333398</v>
      </c>
      <c r="C508" s="854">
        <f t="shared" si="742"/>
        <v>24</v>
      </c>
      <c r="D508" s="1044"/>
      <c r="E508" s="1044"/>
      <c r="F508" s="1044"/>
      <c r="G508" s="1044"/>
      <c r="H508" s="1044"/>
      <c r="I508" s="1044"/>
      <c r="J508" s="1044"/>
      <c r="K508" s="1044"/>
      <c r="L508" s="1044"/>
      <c r="M508" s="1044"/>
      <c r="N508" s="1044"/>
      <c r="O508" s="1044"/>
      <c r="P508" s="1044"/>
      <c r="Q508" s="1044"/>
      <c r="R508" s="1044"/>
      <c r="S508" s="1044"/>
      <c r="T508" s="1044"/>
      <c r="U508" s="1044"/>
      <c r="V508" s="1044"/>
      <c r="W508" s="1044"/>
      <c r="X508" s="1044"/>
      <c r="Y508" s="1044"/>
      <c r="Z508" s="1044"/>
      <c r="AA508" s="1044"/>
      <c r="AB508" s="1044"/>
      <c r="AC508" s="1044"/>
      <c r="AD508" s="1044"/>
      <c r="AE508" s="1044"/>
      <c r="AF508" s="1044"/>
      <c r="AG508" s="1044"/>
      <c r="AH508" s="1044"/>
      <c r="AI508" s="1044"/>
      <c r="AJ508" s="1044"/>
      <c r="AK508" s="1044"/>
      <c r="AL508" s="1044">
        <v>35.5</v>
      </c>
      <c r="AM508" s="1044">
        <v>490</v>
      </c>
      <c r="AN508" s="208">
        <f t="shared" si="778"/>
        <v>21.6</v>
      </c>
      <c r="AO508" s="208">
        <f t="shared" si="779"/>
        <v>65.416666666666657</v>
      </c>
      <c r="AP508" s="1044">
        <v>266</v>
      </c>
      <c r="AQ508" s="76">
        <f t="shared" si="743"/>
        <v>15388.453125000002</v>
      </c>
      <c r="AR508" s="76">
        <f t="shared" si="780"/>
        <v>905.203125</v>
      </c>
      <c r="AS508" s="230">
        <f t="shared" si="781"/>
        <v>37.716796875</v>
      </c>
      <c r="AT508" s="208">
        <f t="shared" ref="AT508:AT511" si="792">AR508/(AVERAGE(AN508,AN509)*(AVERAGE(D$458,D$507,D$486,D$505,D$493,D$494,D$498,D$465,D$470,D$463))*AVERAGE(E$458,E$507,E$486,E$505,E$493,E$494,E$498,E$465,E$470,E$463)*0.0001)</f>
        <v>1939.1005007026688</v>
      </c>
      <c r="AU508" s="1058"/>
      <c r="AV508" s="230">
        <f t="shared" ref="AV508:AV511" si="793">AR508/(AVERAGE(AN509,AN508)*AVERAGE(D$458,D$507,D$486,D$505,D$493,D$494,D$498,D$465,D$470,D$463)*0.01)</f>
        <v>1526.4639159386957</v>
      </c>
      <c r="AW508" s="855">
        <f t="shared" si="782"/>
        <v>0.640625</v>
      </c>
      <c r="AX508" s="1044"/>
      <c r="AY508" s="1044"/>
      <c r="AZ508" s="1044"/>
      <c r="BA508" s="1044"/>
      <c r="BB508" s="1044"/>
      <c r="BC508" s="1044"/>
      <c r="BD508" s="1044"/>
      <c r="BE508" s="1044"/>
      <c r="BF508" s="1044"/>
      <c r="BG508" s="1044"/>
      <c r="BH508" s="1044"/>
      <c r="BI508" s="1044"/>
      <c r="BJ508" s="1044"/>
      <c r="BK508" s="1044"/>
      <c r="BL508" s="1044"/>
      <c r="BM508" s="1044"/>
      <c r="BN508" s="1044"/>
      <c r="BO508" s="1044"/>
      <c r="BP508" s="1044"/>
      <c r="BQ508" s="1044"/>
      <c r="BR508" s="1044"/>
      <c r="BS508" s="1044"/>
      <c r="BT508" s="1044"/>
      <c r="BU508" s="1044"/>
      <c r="BV508" s="1044"/>
      <c r="BW508" s="1044">
        <v>50.4</v>
      </c>
      <c r="BX508" s="1044">
        <v>308</v>
      </c>
      <c r="BY508" s="1054">
        <f t="shared" si="783"/>
        <v>12</v>
      </c>
      <c r="BZ508" s="1054">
        <f t="shared" si="784"/>
        <v>62.166666666666664</v>
      </c>
      <c r="CA508" s="1044">
        <v>150</v>
      </c>
      <c r="CB508" s="1047">
        <f t="shared" si="744"/>
        <v>8647.265625</v>
      </c>
      <c r="CC508" s="208">
        <f t="shared" si="785"/>
        <v>245.3125</v>
      </c>
      <c r="CD508" s="208">
        <f t="shared" si="786"/>
        <v>10.221354166666666</v>
      </c>
      <c r="CE508" s="230">
        <f t="shared" ref="CE508:CE511" si="794">CC508/(AVERAGE(BY509,BY508)*(AVERAGE(D$458,D$507,D$486,D$505,D$493,D$494,D$498,D$465,D$470,D$463))*AVERAGE(E$458,E$507,E$486,E$505,E$493,E$494,E$498,E$465,E$470,E$463)*0.0001)</f>
        <v>627.2828320629942</v>
      </c>
      <c r="CF508" s="1058"/>
      <c r="CG508" s="208">
        <f>CC508/(AVERAGE(BY508,BY509)*AVERAGE((D$458,D$507,D$486,D$505,D$493,D$494,D$498,D$465,D$470,D$463))*0.01)</f>
        <v>493.79833994422512</v>
      </c>
      <c r="CH508" s="855">
        <f t="shared" si="787"/>
        <v>0.3288371313672922</v>
      </c>
      <c r="CI508" s="1044"/>
      <c r="CJ508" s="1044"/>
      <c r="CK508" s="1044"/>
      <c r="CL508" s="1044"/>
      <c r="CM508" s="1044"/>
      <c r="CN508" s="1044"/>
    </row>
    <row r="509" spans="1:92">
      <c r="A509" s="1034">
        <f t="shared" si="716"/>
        <v>41664</v>
      </c>
      <c r="B509" s="1035">
        <f t="shared" si="791"/>
        <v>0.33333333333333398</v>
      </c>
      <c r="C509" s="854">
        <f t="shared" si="742"/>
        <v>24</v>
      </c>
      <c r="D509" s="1044"/>
      <c r="E509" s="1044"/>
      <c r="F509" s="1044"/>
      <c r="G509" s="1044"/>
      <c r="H509" s="1044"/>
      <c r="I509" s="1044"/>
      <c r="J509" s="1044"/>
      <c r="K509" s="1044"/>
      <c r="L509" s="1044"/>
      <c r="M509" s="1044"/>
      <c r="N509" s="1044"/>
      <c r="O509" s="1044"/>
      <c r="P509" s="1044"/>
      <c r="Q509" s="1044"/>
      <c r="R509" s="1044"/>
      <c r="S509" s="1044"/>
      <c r="T509" s="1044"/>
      <c r="U509" s="1044"/>
      <c r="V509" s="1044"/>
      <c r="W509" s="1044"/>
      <c r="X509" s="1044"/>
      <c r="Y509" s="1044"/>
      <c r="Z509" s="1044"/>
      <c r="AA509" s="1044"/>
      <c r="AB509" s="1044"/>
      <c r="AC509" s="1044"/>
      <c r="AD509" s="1044"/>
      <c r="AE509" s="1044"/>
      <c r="AF509" s="1044"/>
      <c r="AG509" s="1044"/>
      <c r="AH509" s="1044"/>
      <c r="AI509" s="1044"/>
      <c r="AJ509" s="1044"/>
      <c r="AK509" s="1044"/>
      <c r="AL509" s="1044">
        <v>35.5</v>
      </c>
      <c r="AM509" s="1044">
        <v>501</v>
      </c>
      <c r="AN509" s="208">
        <f t="shared" si="778"/>
        <v>23.76</v>
      </c>
      <c r="AO509" s="208">
        <f t="shared" si="779"/>
        <v>59.469696969696969</v>
      </c>
      <c r="AP509" s="1044">
        <v>276</v>
      </c>
      <c r="AQ509" s="76">
        <f t="shared" si="743"/>
        <v>15991.921875000002</v>
      </c>
      <c r="AR509" s="76">
        <f t="shared" si="780"/>
        <v>603.46875</v>
      </c>
      <c r="AS509" s="230">
        <f t="shared" si="781"/>
        <v>25.14453125</v>
      </c>
      <c r="AT509" s="208">
        <f t="shared" si="792"/>
        <v>2262.2839174864466</v>
      </c>
      <c r="AU509" s="1058"/>
      <c r="AV509" s="230">
        <f t="shared" si="793"/>
        <v>1780.8745685951451</v>
      </c>
      <c r="AW509" s="855">
        <f t="shared" si="782"/>
        <v>0.42708333333333331</v>
      </c>
      <c r="AX509" s="1044"/>
      <c r="AY509" s="1044"/>
      <c r="AZ509" s="1044"/>
      <c r="BA509" s="1044"/>
      <c r="BB509" s="1044"/>
      <c r="BC509" s="1044"/>
      <c r="BD509" s="1044"/>
      <c r="BE509" s="1044"/>
      <c r="BF509" s="1044"/>
      <c r="BG509" s="1044"/>
      <c r="BH509" s="1044"/>
      <c r="BI509" s="1044"/>
      <c r="BJ509" s="1044"/>
      <c r="BK509" s="1044"/>
      <c r="BL509" s="1044"/>
      <c r="BM509" s="1044"/>
      <c r="BN509" s="1044"/>
      <c r="BO509" s="1044"/>
      <c r="BP509" s="1044"/>
      <c r="BQ509" s="1044"/>
      <c r="BR509" s="1044"/>
      <c r="BS509" s="1044"/>
      <c r="BT509" s="1044"/>
      <c r="BU509" s="1044"/>
      <c r="BV509" s="1044"/>
      <c r="BW509" s="1044">
        <v>50.5</v>
      </c>
      <c r="BX509" s="1044">
        <v>321</v>
      </c>
      <c r="BY509" s="1054">
        <f t="shared" si="783"/>
        <v>26</v>
      </c>
      <c r="BZ509" s="1054">
        <f t="shared" si="784"/>
        <v>28.692307692307693</v>
      </c>
      <c r="CA509" s="1044">
        <v>156</v>
      </c>
      <c r="CB509" s="1047">
        <f t="shared" si="744"/>
        <v>9015.234375</v>
      </c>
      <c r="CC509" s="208">
        <f t="shared" si="785"/>
        <v>367.96875</v>
      </c>
      <c r="CD509" s="208">
        <f t="shared" si="786"/>
        <v>15.33203125</v>
      </c>
      <c r="CE509" s="230">
        <f t="shared" si="794"/>
        <v>483.17731658906314</v>
      </c>
      <c r="CF509" s="1058"/>
      <c r="CG509" s="208">
        <f>CC509/(AVERAGE(BY509,BY510)*AVERAGE((D$458,D$507,D$486,D$505,D$493,D$494,D$498,D$465,D$470,D$463))*0.01)</f>
        <v>380.35818076784909</v>
      </c>
      <c r="CH509" s="855">
        <f t="shared" si="787"/>
        <v>0.49325569705093836</v>
      </c>
      <c r="CI509" s="1044"/>
      <c r="CJ509" s="1044"/>
      <c r="CK509" s="1044"/>
      <c r="CL509" s="1044"/>
      <c r="CM509" s="1044"/>
      <c r="CN509" s="1044"/>
    </row>
    <row r="510" spans="1:92">
      <c r="A510" s="1034">
        <f t="shared" si="716"/>
        <v>41665</v>
      </c>
      <c r="B510" s="1035">
        <f t="shared" si="791"/>
        <v>0.33333333333333398</v>
      </c>
      <c r="C510" s="854">
        <f t="shared" si="742"/>
        <v>24</v>
      </c>
      <c r="D510" s="1044"/>
      <c r="E510" s="1044"/>
      <c r="F510" s="1044"/>
      <c r="G510" s="1044"/>
      <c r="H510" s="1044"/>
      <c r="I510" s="1044"/>
      <c r="J510" s="1044"/>
      <c r="K510" s="1044"/>
      <c r="L510" s="1044"/>
      <c r="M510" s="1044"/>
      <c r="N510" s="1044"/>
      <c r="O510" s="1044"/>
      <c r="P510" s="1044"/>
      <c r="Q510" s="1044"/>
      <c r="R510" s="1044"/>
      <c r="S510" s="1044"/>
      <c r="T510" s="1044"/>
      <c r="U510" s="1044"/>
      <c r="V510" s="1044"/>
      <c r="W510" s="1044"/>
      <c r="X510" s="1044"/>
      <c r="Y510" s="1044"/>
      <c r="Z510" s="1044"/>
      <c r="AA510" s="1044"/>
      <c r="AB510" s="1044"/>
      <c r="AC510" s="1044"/>
      <c r="AD510" s="1044"/>
      <c r="AE510" s="1044"/>
      <c r="AF510" s="1044"/>
      <c r="AG510" s="1044"/>
      <c r="AH510" s="1044"/>
      <c r="AI510" s="1044"/>
      <c r="AJ510" s="1044"/>
      <c r="AK510" s="1044"/>
      <c r="AL510" s="1044">
        <v>35.5</v>
      </c>
      <c r="AM510" s="1044">
        <v>502</v>
      </c>
      <c r="AN510" s="208">
        <f t="shared" si="778"/>
        <v>2.16</v>
      </c>
      <c r="AO510" s="208">
        <f t="shared" si="779"/>
        <v>654.16666666666663</v>
      </c>
      <c r="AP510" s="1044">
        <v>282</v>
      </c>
      <c r="AQ510" s="76">
        <f t="shared" si="743"/>
        <v>16354.003125000001</v>
      </c>
      <c r="AR510" s="76">
        <f t="shared" si="780"/>
        <v>362.08124999999927</v>
      </c>
      <c r="AS510" s="230">
        <f t="shared" si="781"/>
        <v>15.086718749999969</v>
      </c>
      <c r="AT510" s="208">
        <f t="shared" si="792"/>
        <v>2714.7407009837307</v>
      </c>
      <c r="AU510" s="1058"/>
      <c r="AV510" s="230">
        <f t="shared" si="793"/>
        <v>2137.0494823141698</v>
      </c>
      <c r="AW510" s="855">
        <f t="shared" si="782"/>
        <v>0.25624999999999948</v>
      </c>
      <c r="AX510" s="1044"/>
      <c r="AY510" s="1044"/>
      <c r="AZ510" s="1044"/>
      <c r="BA510" s="1044"/>
      <c r="BB510" s="1044"/>
      <c r="BC510" s="1044" t="s">
        <v>182</v>
      </c>
      <c r="BD510" s="1044"/>
      <c r="BE510" s="1044"/>
      <c r="BF510" s="1044"/>
      <c r="BG510" s="1044"/>
      <c r="BH510" s="1044"/>
      <c r="BI510" s="1044"/>
      <c r="BJ510" s="1044"/>
      <c r="BK510" s="1044"/>
      <c r="BL510" s="1044"/>
      <c r="BM510" s="1044"/>
      <c r="BN510" s="1044"/>
      <c r="BO510" s="1044"/>
      <c r="BP510" s="1044"/>
      <c r="BQ510" s="1044"/>
      <c r="BR510" s="1044"/>
      <c r="BS510" s="1044"/>
      <c r="BT510" s="1044"/>
      <c r="BU510" s="1044"/>
      <c r="BV510" s="1044"/>
      <c r="BW510" s="1044">
        <v>50.4</v>
      </c>
      <c r="BX510" s="1044">
        <v>345</v>
      </c>
      <c r="BY510" s="1054">
        <f t="shared" si="783"/>
        <v>48</v>
      </c>
      <c r="BZ510" s="1074">
        <f t="shared" si="784"/>
        <v>15.541666666666666</v>
      </c>
      <c r="CA510" s="1044">
        <v>165</v>
      </c>
      <c r="CB510" s="1047">
        <f t="shared" si="744"/>
        <v>9567.1875</v>
      </c>
      <c r="CC510" s="208">
        <f t="shared" si="785"/>
        <v>551.953125</v>
      </c>
      <c r="CD510" s="208">
        <f t="shared" si="786"/>
        <v>22.998046875</v>
      </c>
      <c r="CE510" s="230">
        <f t="shared" si="794"/>
        <v>838.01065845915639</v>
      </c>
      <c r="CF510" s="1058"/>
      <c r="CG510" s="208">
        <f>CC510/(AVERAGE(BY510,BY511)*AVERAGE((D$458,D$507,D$486,D$505,D$493,D$494,D$498,D$465,D$470,D$463))*0.01)</f>
        <v>659.68371976923822</v>
      </c>
      <c r="CH510" s="855">
        <f t="shared" si="787"/>
        <v>0.73988354557640745</v>
      </c>
      <c r="CI510" s="1044"/>
      <c r="CJ510" s="1044"/>
      <c r="CK510" s="1044"/>
      <c r="CL510" s="1044"/>
      <c r="CM510" s="1044"/>
      <c r="CN510" s="1044"/>
    </row>
    <row r="511" spans="1:92">
      <c r="A511" s="1034">
        <f t="shared" si="716"/>
        <v>41666</v>
      </c>
      <c r="B511" s="1035">
        <f t="shared" si="791"/>
        <v>0.33333333333333398</v>
      </c>
      <c r="C511" s="854">
        <f t="shared" si="742"/>
        <v>24</v>
      </c>
      <c r="D511" s="1044"/>
      <c r="E511" s="1044"/>
      <c r="F511" s="1044"/>
      <c r="G511" s="1044"/>
      <c r="H511" s="1044"/>
      <c r="I511" s="1044"/>
      <c r="J511" s="1044"/>
      <c r="K511" s="1044"/>
      <c r="L511" s="1044"/>
      <c r="M511" s="1044"/>
      <c r="N511" s="1044"/>
      <c r="O511" s="1044"/>
      <c r="P511" s="1044"/>
      <c r="Q511" s="1044"/>
      <c r="R511" s="1044"/>
      <c r="S511" s="1044"/>
      <c r="T511" s="1044"/>
      <c r="U511" s="1044"/>
      <c r="V511" s="1044"/>
      <c r="W511" s="1044"/>
      <c r="X511" s="1044"/>
      <c r="Y511" s="1044"/>
      <c r="Z511" s="1044"/>
      <c r="AA511" s="1044"/>
      <c r="AB511" s="1044"/>
      <c r="AC511" s="1044"/>
      <c r="AD511" s="1044"/>
      <c r="AE511" s="1044"/>
      <c r="AF511" s="1044"/>
      <c r="AG511" s="1044"/>
      <c r="AH511" s="1044"/>
      <c r="AI511" s="1044"/>
      <c r="AJ511" s="1044"/>
      <c r="AK511" s="1044"/>
      <c r="AL511" s="1044">
        <v>35.5</v>
      </c>
      <c r="AM511" s="1044">
        <v>507</v>
      </c>
      <c r="AN511" s="208">
        <f t="shared" si="778"/>
        <v>10.8</v>
      </c>
      <c r="AO511" s="208">
        <f t="shared" si="779"/>
        <v>130.83333333333331</v>
      </c>
      <c r="AP511" s="1044">
        <v>288</v>
      </c>
      <c r="AQ511" s="76">
        <f t="shared" si="743"/>
        <v>16716.084375000002</v>
      </c>
      <c r="AR511" s="76">
        <f t="shared" si="780"/>
        <v>362.08125000000109</v>
      </c>
      <c r="AS511" s="230">
        <f t="shared" si="781"/>
        <v>15.086718750000045</v>
      </c>
      <c r="AT511" s="208">
        <f t="shared" si="792"/>
        <v>267.02367550659778</v>
      </c>
      <c r="AU511" s="1058"/>
      <c r="AV511" s="230">
        <f t="shared" si="793"/>
        <v>210.2015884243456</v>
      </c>
      <c r="AW511" s="855">
        <f t="shared" si="782"/>
        <v>0.25625000000000075</v>
      </c>
      <c r="AX511" s="1044"/>
      <c r="AY511" s="1044"/>
      <c r="AZ511" s="1044"/>
      <c r="BA511" s="1044"/>
      <c r="BB511" s="1044"/>
      <c r="BC511" s="1044"/>
      <c r="BD511" s="1044"/>
      <c r="BE511" s="1044"/>
      <c r="BF511" s="1044"/>
      <c r="BG511" s="1044"/>
      <c r="BH511" s="1044"/>
      <c r="BI511" s="1044"/>
      <c r="BJ511" s="1044"/>
      <c r="BK511" s="1044"/>
      <c r="BL511" s="1044"/>
      <c r="BM511" s="1044"/>
      <c r="BN511" s="1044"/>
      <c r="BO511" s="1044"/>
      <c r="BP511" s="1044"/>
      <c r="BQ511" s="1044"/>
      <c r="BR511" s="1044"/>
      <c r="BS511" s="1044"/>
      <c r="BT511" s="1044"/>
      <c r="BU511" s="1044"/>
      <c r="BV511" s="1044"/>
      <c r="BW511" s="1044">
        <v>50.5</v>
      </c>
      <c r="BX511" s="1044">
        <v>353</v>
      </c>
      <c r="BY511" s="1054">
        <f t="shared" si="783"/>
        <v>16</v>
      </c>
      <c r="BZ511" s="1054">
        <f t="shared" si="784"/>
        <v>46.625</v>
      </c>
      <c r="CA511" s="1044">
        <v>174</v>
      </c>
      <c r="CB511" s="1047">
        <f t="shared" si="744"/>
        <v>10119.140625</v>
      </c>
      <c r="CC511" s="208">
        <f t="shared" si="785"/>
        <v>551.953125</v>
      </c>
      <c r="CD511" s="208">
        <f t="shared" si="786"/>
        <v>22.998046875</v>
      </c>
      <c r="CE511" s="230">
        <f t="shared" si="794"/>
        <v>924.70141623079326</v>
      </c>
      <c r="CF511" s="1058"/>
      <c r="CG511" s="208">
        <f>CC511/(AVERAGE(BY511,BY512)*AVERAGE((D$458,D$507,D$486,D$505,D$493,D$494,D$498,D$465,D$470,D$463))*0.01)</f>
        <v>727.92686319364213</v>
      </c>
      <c r="CH511" s="855">
        <f t="shared" si="787"/>
        <v>0.73988354557640745</v>
      </c>
      <c r="CI511" s="1044"/>
      <c r="CJ511" s="1044"/>
      <c r="CK511" s="1044"/>
      <c r="CL511" s="1044"/>
      <c r="CM511" s="1044"/>
      <c r="CN511" s="1044"/>
    </row>
    <row r="512" spans="1:92" s="337" customFormat="1">
      <c r="A512" s="1036">
        <f t="shared" si="716"/>
        <v>41667</v>
      </c>
      <c r="B512" s="1037">
        <f t="shared" si="791"/>
        <v>0.33333333333333398</v>
      </c>
      <c r="C512" s="847">
        <f t="shared" si="742"/>
        <v>24</v>
      </c>
      <c r="D512" s="1075">
        <v>2.4396013839193307</v>
      </c>
      <c r="E512" s="1075">
        <v>79.030303030303159</v>
      </c>
      <c r="F512" s="1023"/>
      <c r="G512" s="1023"/>
      <c r="H512" s="1023"/>
      <c r="I512" s="1023"/>
      <c r="J512" s="1023"/>
      <c r="K512" s="1023"/>
      <c r="L512" s="1023"/>
      <c r="M512" s="1023"/>
      <c r="N512" s="1023"/>
      <c r="O512" s="1023"/>
      <c r="P512" s="1023"/>
      <c r="Q512" s="1023"/>
      <c r="R512" s="1023"/>
      <c r="S512" s="1023"/>
      <c r="T512" s="1023"/>
      <c r="U512" s="1023"/>
      <c r="V512" s="1075">
        <v>1.5305101700566868</v>
      </c>
      <c r="W512" s="1075">
        <v>65.795206971677743</v>
      </c>
      <c r="X512" s="1023"/>
      <c r="Y512" s="1023"/>
      <c r="Z512" s="1023"/>
      <c r="AA512" s="1023"/>
      <c r="AB512" s="1023"/>
      <c r="AC512" s="1023"/>
      <c r="AD512" s="1021">
        <f>D507*(100-E507)/(100-W512)</f>
        <v>2.0754401273885468</v>
      </c>
      <c r="AE512" s="1055">
        <f>D507-V512</f>
        <v>1.5694898299433133</v>
      </c>
      <c r="AF512" s="847">
        <f>100*(AVERAGE(D$512,D$507,D$486,D$505,D$493,D$494,D$498,D$465,D$470,D$463)-V512)/AVERAGE(D$512,D$507,D$486,D$505,D$493,D$494,D$498,D$465,D$470,D$463)</f>
        <v>39.947671925415833</v>
      </c>
      <c r="AG512" s="847">
        <f>100*(1-((100-AVERAGE(E$512,E$507,E$486,E$505,E$493,E$494,E$498,E$465,E$470,E$463))/(100-W512)))</f>
        <v>38.789972193836164</v>
      </c>
      <c r="AH512" s="1055">
        <f>E507-W512</f>
        <v>11.304793028322251</v>
      </c>
      <c r="AI512" s="847">
        <f>100*(1-((V512*W512)/(AVERAGE(D$512,D$507,D$486,D$505,D$493,D$494,D$498,D$465,D$470,D$463)*AVERAGE(E$512,E$507,E$486,E$505,E$493,E$494,E$498,E$465,E$470,E$463))))</f>
        <v>50.025378154274321</v>
      </c>
      <c r="AJ512" s="847">
        <f>100*100*((AVERAGE(E$512,E$507,E$486,E$505,E$493,E$494,E$498,E$465,E$470,E$463)-W512)/((100-W512)*AVERAGE(E$512,E$507,E$486,E$505,E$493,E$494,E$498,E$465,E$470,E$463)))</f>
        <v>49.061958281114087</v>
      </c>
      <c r="AK512" s="1023"/>
      <c r="AL512" s="1023">
        <v>35.700000000000003</v>
      </c>
      <c r="AM512" s="1023">
        <v>563</v>
      </c>
      <c r="AN512" s="334">
        <f t="shared" si="778"/>
        <v>120.96000000000001</v>
      </c>
      <c r="AO512" s="334">
        <f t="shared" si="779"/>
        <v>11.681547619047619</v>
      </c>
      <c r="AP512" s="1023">
        <v>306</v>
      </c>
      <c r="AQ512" s="348">
        <f t="shared" si="743"/>
        <v>17802.328125</v>
      </c>
      <c r="AR512" s="348">
        <f t="shared" si="780"/>
        <v>1086.2437499999978</v>
      </c>
      <c r="AS512" s="512">
        <f t="shared" si="781"/>
        <v>45.260156249999909</v>
      </c>
      <c r="AT512" s="334">
        <f>AR512/(AVERAGE(AN512,AN513)*(AVERAGE(D$512,D$507,D$486,D$505,D$493,D$494,D$498,D$465,D$470,D$463))*AVERAGE(E$512,E$507,E$486,E$505,E$493,E$494,E$498,E$465,E$470,E$463)*0.0001)</f>
        <v>594.21455907909467</v>
      </c>
      <c r="AU512" s="334">
        <f>(AQ512-AQ506)/(AVERAGE(AN506:AN512)*((AVERAGE(D$512,D$507,D$486,D$505,D$493,D$494,D$498,D$465,D$470,D$463)*AVERAGE(E$512,E$507,E$486,E$505,E$493,E$494,E$498,E$465,E$470,E$463))-(V512*W512))*0.0001*(SUM(C506:C512)/24))</f>
        <v>1481.0047035469502</v>
      </c>
      <c r="AV512" s="512">
        <f>AR512/(AVERAGE(AN513,AN512)*AVERAGE(D$512,D$507,D$486,D$505,D$493,D$494,D$498,D$465,D$470,D$463)*0.01)</f>
        <v>469.80526320987474</v>
      </c>
      <c r="AW512" s="848">
        <f t="shared" si="782"/>
        <v>0.76874999999999849</v>
      </c>
      <c r="AX512" s="1023"/>
      <c r="AY512" s="1023"/>
      <c r="AZ512" s="1023"/>
      <c r="BA512" s="1023"/>
      <c r="BB512" s="1023"/>
      <c r="BC512" s="1023" t="s">
        <v>181</v>
      </c>
      <c r="BD512" s="1023"/>
      <c r="BE512" s="1023"/>
      <c r="BF512" s="1023"/>
      <c r="BG512" s="1075">
        <v>1.6575653444361831</v>
      </c>
      <c r="BH512" s="1075">
        <v>66.798418972332456</v>
      </c>
      <c r="BI512" s="1023"/>
      <c r="BJ512" s="1023"/>
      <c r="BK512" s="1023"/>
      <c r="BL512" s="1023"/>
      <c r="BM512" s="1023"/>
      <c r="BN512" s="1023"/>
      <c r="BO512" s="847">
        <f>D507*(100-E507)/(100-BH512)</f>
        <v>2.1381511904762194</v>
      </c>
      <c r="BP512" s="1055">
        <f>D507-BG512</f>
        <v>1.442434655563817</v>
      </c>
      <c r="BQ512" s="1056">
        <f>100*(AVERAGE(D$512,D$507,D$486,D$505,D$493,D$494,D$498,D$465,D$470,D$463)-BG512)/AVERAGE(D$512,D$507,D$486,D$505,D$493,D$494,D$498,D$465,D$470,D$463)</f>
        <v>34.962432908592824</v>
      </c>
      <c r="BR512" s="1056">
        <f>100*(1-((100-AVERAGE(E$512,E$507,E$486,E$505,E$493,E$494,E$498,E$465,E$470,E$463))/(100-BH512)))</f>
        <v>36.940462846543909</v>
      </c>
      <c r="BS512" s="1055">
        <f>E507-BH512</f>
        <v>10.301581027667538</v>
      </c>
      <c r="BT512" s="1055">
        <f>100*(1-((BG512*BH512)/(AVERAGE(D$512,D$507,D$486,D$505,D$493,D$494,D$498,D$465,D$470,D$463)*AVERAGE(E$512,E$507,E$486,E$505,E$493,E$494,E$498,E$465,E$470,E$463))))</f>
        <v>45.051495003947828</v>
      </c>
      <c r="BU512" s="847">
        <f>100*100*((AVERAGE(E$512,E$507,E$486,E$505,E$493,E$494,E$498,E$465,E$470,E$463)-BH512)/((100-BH512)*AVERAGE(E$512,E$507,E$486,E$505,E$493,E$494,E$498,E$465,E$470,E$463)))</f>
        <v>46.722679717470214</v>
      </c>
      <c r="BV512" s="1023"/>
      <c r="BW512" s="1023">
        <v>50.4</v>
      </c>
      <c r="BX512" s="1023">
        <v>374</v>
      </c>
      <c r="BY512" s="1056">
        <f t="shared" si="783"/>
        <v>42</v>
      </c>
      <c r="BZ512" s="1056">
        <f t="shared" si="784"/>
        <v>17.761904761904763</v>
      </c>
      <c r="CA512" s="1023">
        <v>184</v>
      </c>
      <c r="CB512" s="1057">
        <f t="shared" si="744"/>
        <v>10732.421875</v>
      </c>
      <c r="CC512" s="334">
        <f t="shared" si="785"/>
        <v>613.28125</v>
      </c>
      <c r="CD512" s="334">
        <f t="shared" si="786"/>
        <v>25.553385416666668</v>
      </c>
      <c r="CE512" s="512">
        <f>CC512/(AVERAGE(BY513,BY512)*(AVERAGE(D$512,D$507,D$486,D$505,D$493,D$494,D$498,D$465,D$470,D$463))*AVERAGE(E$512,E$507,E$486,E$505,E$493,E$494,E$498,E$465,E$470,E$463)*0.0001)</f>
        <v>869.5822815791646</v>
      </c>
      <c r="CF512" s="334">
        <f>(CB512-CB506)/(AVERAGE(BY506:BY512)*((AVERAGE(D$512,D$507,D$486,D$505,D$493,D$494,D$498,D$465,D$470,D$463)*AVERAGE(E$512,E$507,E$486,E$505,E$493,E$494,E$498,E$465,E$470,E$463))-(BG512*BH512))*0.0001*(SUM(C506:C512)/24))</f>
        <v>1589.5734087562394</v>
      </c>
      <c r="CG512" s="334">
        <f>CC512/(AVERAGE(BY512,BY513)*AVERAGE((D$512,D$507,D$486,D$505,D$493,D$494,D$498,D$465,D$470,D$463))*0.01)</f>
        <v>687.51989738030579</v>
      </c>
      <c r="CH512" s="848">
        <f t="shared" si="787"/>
        <v>0.82209282841823061</v>
      </c>
      <c r="CI512" s="1023"/>
      <c r="CJ512" s="1023"/>
      <c r="CK512" s="1023"/>
      <c r="CL512" s="1023"/>
      <c r="CM512" s="1023"/>
      <c r="CN512" s="1023"/>
    </row>
    <row r="513" spans="1:92">
      <c r="A513" s="1034">
        <f t="shared" si="716"/>
        <v>41668</v>
      </c>
      <c r="B513" s="1035">
        <f t="shared" si="791"/>
        <v>0.33333333333333398</v>
      </c>
      <c r="C513" s="854">
        <f t="shared" si="742"/>
        <v>24</v>
      </c>
      <c r="D513" s="1044"/>
      <c r="E513" s="1044"/>
      <c r="F513" s="1044"/>
      <c r="G513" s="1044"/>
      <c r="H513" s="1044"/>
      <c r="I513" s="1044"/>
      <c r="J513" s="1044"/>
      <c r="K513" s="1044"/>
      <c r="L513" s="1044"/>
      <c r="M513" s="1044"/>
      <c r="N513" s="1044"/>
      <c r="O513" s="1044"/>
      <c r="P513" s="1044"/>
      <c r="Q513" s="1044"/>
      <c r="R513" s="1044"/>
      <c r="S513" s="1044"/>
      <c r="T513" s="1044"/>
      <c r="U513" s="1044"/>
      <c r="V513" s="1044"/>
      <c r="W513" s="1044"/>
      <c r="X513" s="1044"/>
      <c r="Y513" s="1044"/>
      <c r="Z513" s="1044"/>
      <c r="AA513" s="1044"/>
      <c r="AB513" s="1044"/>
      <c r="AC513" s="1044"/>
      <c r="AD513" s="1044"/>
      <c r="AE513" s="1044"/>
      <c r="AF513" s="1044"/>
      <c r="AG513" s="1044"/>
      <c r="AH513" s="1044"/>
      <c r="AI513" s="1044"/>
      <c r="AJ513" s="1044"/>
      <c r="AK513" s="1044"/>
      <c r="AL513" s="1044">
        <v>35.5</v>
      </c>
      <c r="AM513" s="1044">
        <v>591</v>
      </c>
      <c r="AN513" s="208">
        <f t="shared" si="778"/>
        <v>60.480000000000004</v>
      </c>
      <c r="AO513" s="208">
        <f t="shared" si="779"/>
        <v>23.363095238095237</v>
      </c>
      <c r="AP513" s="1044">
        <v>323</v>
      </c>
      <c r="AQ513" s="76">
        <f t="shared" si="743"/>
        <v>18828.225000000002</v>
      </c>
      <c r="AR513" s="76">
        <f t="shared" si="780"/>
        <v>1025.8968750000022</v>
      </c>
      <c r="AS513" s="230">
        <f t="shared" si="781"/>
        <v>42.745703125000091</v>
      </c>
      <c r="AT513" s="208">
        <f t="shared" ref="AT513:AT520" si="795">AR513/(AVERAGE(AN513,AN514)*(AVERAGE(D$512,D$507,D$486,D$505,D$493,D$494,D$498,D$465,D$470,D$463))*AVERAGE(E$512,E$507,E$486,E$505,E$493,E$494,E$498,E$465,E$470,E$463)*0.0001)</f>
        <v>841.80395869538745</v>
      </c>
      <c r="AU513" s="1058"/>
      <c r="AV513" s="230">
        <f t="shared" ref="AV513:AV520" si="796">AR513/(AVERAGE(AN514,AN513)*AVERAGE(D$512,D$507,D$486,D$505,D$493,D$494,D$498,D$465,D$470,D$463)*0.01)</f>
        <v>665.55745621399194</v>
      </c>
      <c r="AW513" s="855">
        <f t="shared" si="782"/>
        <v>0.72604166666666825</v>
      </c>
      <c r="AX513" s="1044"/>
      <c r="AY513" s="1044"/>
      <c r="AZ513" s="1044"/>
      <c r="BA513" s="1044"/>
      <c r="BB513" s="1044"/>
      <c r="BC513" s="1044"/>
      <c r="BD513" s="1044"/>
      <c r="BE513" s="1044"/>
      <c r="BF513" s="1044"/>
      <c r="BG513" s="1044"/>
      <c r="BH513" s="1044"/>
      <c r="BI513" s="1044"/>
      <c r="BJ513" s="1044"/>
      <c r="BK513" s="1044"/>
      <c r="BL513" s="1044"/>
      <c r="BM513" s="1044"/>
      <c r="BN513" s="1044"/>
      <c r="BO513" s="1044"/>
      <c r="BP513" s="1044"/>
      <c r="BQ513" s="1044"/>
      <c r="BR513" s="1044"/>
      <c r="BS513" s="1044"/>
      <c r="BT513" s="1044"/>
      <c r="BU513" s="1044"/>
      <c r="BV513" s="1044"/>
      <c r="BW513" s="1044">
        <v>50.5</v>
      </c>
      <c r="BX513" s="1044">
        <v>388</v>
      </c>
      <c r="BY513" s="1054">
        <f t="shared" si="783"/>
        <v>28</v>
      </c>
      <c r="BZ513" s="1054">
        <f t="shared" si="784"/>
        <v>26.642857142857142</v>
      </c>
      <c r="CA513" s="1044">
        <v>191</v>
      </c>
      <c r="CB513" s="1047">
        <f t="shared" si="744"/>
        <v>11161.71875</v>
      </c>
      <c r="CC513" s="208">
        <f t="shared" si="785"/>
        <v>429.296875</v>
      </c>
      <c r="CD513" s="208">
        <f t="shared" si="786"/>
        <v>17.887369791666668</v>
      </c>
      <c r="CE513" s="230">
        <f t="shared" ref="CE513:CE520" si="797">CC513/(AVERAGE(BY514,BY513)*(AVERAGE(D$512,D$507,D$486,D$505,D$493,D$494,D$498,D$465,D$470,D$463))*AVERAGE(E$512,E$507,E$486,E$505,E$493,E$494,E$498,E$465,E$470,E$463)*0.0001)</f>
        <v>852.1906359475812</v>
      </c>
      <c r="CF513" s="208"/>
      <c r="CG513" s="208">
        <f>CC513/(AVERAGE(BY513,BY514)*AVERAGE((D$512,D$507,D$486,D$505,D$493,D$494,D$498,D$465,D$470,D$463))*0.01)</f>
        <v>673.76949943269972</v>
      </c>
      <c r="CH513" s="855">
        <f t="shared" si="787"/>
        <v>0.57546497989276135</v>
      </c>
      <c r="CI513" s="1044"/>
      <c r="CJ513" s="1044"/>
      <c r="CK513" s="1044"/>
      <c r="CL513" s="1044"/>
      <c r="CM513" s="1044"/>
      <c r="CN513" s="1044"/>
    </row>
    <row r="514" spans="1:92">
      <c r="A514" s="1034">
        <f t="shared" si="716"/>
        <v>41669</v>
      </c>
      <c r="B514" s="1035">
        <f t="shared" si="791"/>
        <v>0.33333333333333398</v>
      </c>
      <c r="C514" s="854">
        <f t="shared" si="742"/>
        <v>24</v>
      </c>
      <c r="D514" s="1044"/>
      <c r="E514" s="1044"/>
      <c r="F514" s="1044"/>
      <c r="G514" s="1044"/>
      <c r="H514" s="1044"/>
      <c r="I514" s="1044"/>
      <c r="J514" s="1044"/>
      <c r="K514" s="1044"/>
      <c r="L514" s="1044"/>
      <c r="M514" s="1044"/>
      <c r="N514" s="1044"/>
      <c r="O514" s="1044"/>
      <c r="P514" s="1044"/>
      <c r="Q514" s="1044"/>
      <c r="R514" s="1044"/>
      <c r="S514" s="1044"/>
      <c r="T514" s="1044"/>
      <c r="U514" s="1044"/>
      <c r="V514" s="1044"/>
      <c r="W514" s="1044"/>
      <c r="X514" s="1044"/>
      <c r="Y514" s="1044"/>
      <c r="Z514" s="1044"/>
      <c r="AA514" s="1044"/>
      <c r="AB514" s="1044"/>
      <c r="AC514" s="1044"/>
      <c r="AD514" s="1044"/>
      <c r="AE514" s="1044"/>
      <c r="AF514" s="1044"/>
      <c r="AG514" s="1044"/>
      <c r="AH514" s="1044"/>
      <c r="AI514" s="1044"/>
      <c r="AJ514" s="1044"/>
      <c r="AK514" s="1044"/>
      <c r="AL514" s="1044">
        <v>35.6</v>
      </c>
      <c r="AM514" s="1044">
        <v>619</v>
      </c>
      <c r="AN514" s="208">
        <f t="shared" si="778"/>
        <v>60.480000000000004</v>
      </c>
      <c r="AO514" s="208">
        <f t="shared" si="779"/>
        <v>23.363095238095237</v>
      </c>
      <c r="AP514" s="1044">
        <v>336</v>
      </c>
      <c r="AQ514" s="76">
        <f t="shared" si="743"/>
        <v>19612.734375</v>
      </c>
      <c r="AR514" s="76">
        <f t="shared" si="780"/>
        <v>784.50937499999782</v>
      </c>
      <c r="AS514" s="230">
        <f t="shared" si="781"/>
        <v>32.687890624999909</v>
      </c>
      <c r="AT514" s="208">
        <f t="shared" si="795"/>
        <v>643.73243900235195</v>
      </c>
      <c r="AU514" s="1058"/>
      <c r="AV514" s="230">
        <f t="shared" si="796"/>
        <v>508.95570181069718</v>
      </c>
      <c r="AW514" s="855">
        <f t="shared" si="782"/>
        <v>0.55520833333333175</v>
      </c>
      <c r="AX514" s="1044"/>
      <c r="AY514" s="1044"/>
      <c r="AZ514" s="1044"/>
      <c r="BA514" s="1044"/>
      <c r="BB514" s="1044"/>
      <c r="BC514" s="1044"/>
      <c r="BD514" s="1044"/>
      <c r="BE514" s="1044"/>
      <c r="BF514" s="1044"/>
      <c r="BG514" s="1044"/>
      <c r="BH514" s="1044"/>
      <c r="BI514" s="1044"/>
      <c r="BJ514" s="1044"/>
      <c r="BK514" s="1044"/>
      <c r="BL514" s="1044"/>
      <c r="BM514" s="1044"/>
      <c r="BN514" s="1044"/>
      <c r="BO514" s="1044"/>
      <c r="BP514" s="1044"/>
      <c r="BQ514" s="1044"/>
      <c r="BR514" s="1044"/>
      <c r="BS514" s="1044"/>
      <c r="BT514" s="1044"/>
      <c r="BU514" s="1044"/>
      <c r="BV514" s="1044"/>
      <c r="BW514" s="1044">
        <v>50.5</v>
      </c>
      <c r="BX514" s="1044">
        <v>399</v>
      </c>
      <c r="BY514" s="1054">
        <f t="shared" si="783"/>
        <v>22</v>
      </c>
      <c r="BZ514" s="1054">
        <f t="shared" si="784"/>
        <v>33.909090909090907</v>
      </c>
      <c r="CA514" s="1044">
        <v>194</v>
      </c>
      <c r="CB514" s="1047">
        <f t="shared" si="744"/>
        <v>11345.703125</v>
      </c>
      <c r="CC514" s="208">
        <f t="shared" si="785"/>
        <v>183.984375</v>
      </c>
      <c r="CD514" s="208">
        <f t="shared" si="786"/>
        <v>7.666015625</v>
      </c>
      <c r="CE514" s="230">
        <f t="shared" si="797"/>
        <v>212.33985945537742</v>
      </c>
      <c r="CF514" s="208"/>
      <c r="CG514" s="208">
        <f>CC514/(AVERAGE(BY514,BY515)*AVERAGE((D$512,D$507,D$486,D$505,D$493,D$494,D$498,D$465,D$470,D$463))*0.01)</f>
        <v>167.88276563937703</v>
      </c>
      <c r="CH514" s="855">
        <f t="shared" si="787"/>
        <v>0.24662784852546918</v>
      </c>
      <c r="CI514" s="1044"/>
      <c r="CJ514" s="1044"/>
      <c r="CK514" s="1044"/>
      <c r="CL514" s="1044"/>
      <c r="CM514" s="1044"/>
      <c r="CN514" s="1044"/>
    </row>
    <row r="515" spans="1:92">
      <c r="A515" s="1034">
        <f t="shared" si="716"/>
        <v>41670</v>
      </c>
      <c r="B515" s="1035">
        <f t="shared" si="791"/>
        <v>0.33333333333333398</v>
      </c>
      <c r="C515" s="854">
        <f t="shared" si="742"/>
        <v>24</v>
      </c>
      <c r="D515" s="1044"/>
      <c r="E515" s="1044"/>
      <c r="F515" s="1044"/>
      <c r="G515" s="1044"/>
      <c r="H515" s="1044"/>
      <c r="I515" s="1044"/>
      <c r="J515" s="1044"/>
      <c r="K515" s="1044"/>
      <c r="L515" s="1044"/>
      <c r="M515" s="1044"/>
      <c r="N515" s="1044"/>
      <c r="O515" s="1044"/>
      <c r="P515" s="1044"/>
      <c r="Q515" s="1044"/>
      <c r="R515" s="1044"/>
      <c r="S515" s="1044"/>
      <c r="T515" s="1044"/>
      <c r="U515" s="1044"/>
      <c r="V515" s="1044"/>
      <c r="W515" s="1044"/>
      <c r="X515" s="1044"/>
      <c r="Y515" s="1044"/>
      <c r="Z515" s="1044"/>
      <c r="AA515" s="1044"/>
      <c r="AB515" s="1044"/>
      <c r="AC515" s="1044"/>
      <c r="AD515" s="1044"/>
      <c r="AE515" s="1044"/>
      <c r="AF515" s="1044"/>
      <c r="AG515" s="1044"/>
      <c r="AH515" s="1044"/>
      <c r="AI515" s="1044"/>
      <c r="AJ515" s="1044"/>
      <c r="AK515" s="1044"/>
      <c r="AL515" s="1044">
        <v>35.700000000000003</v>
      </c>
      <c r="AM515" s="1044">
        <v>647</v>
      </c>
      <c r="AN515" s="208">
        <f t="shared" si="778"/>
        <v>60.480000000000004</v>
      </c>
      <c r="AO515" s="208">
        <f t="shared" si="779"/>
        <v>23.363095238095237</v>
      </c>
      <c r="AP515" s="1044">
        <v>348</v>
      </c>
      <c r="AQ515" s="76">
        <f t="shared" si="743"/>
        <v>20336.896875000002</v>
      </c>
      <c r="AR515" s="76">
        <f t="shared" si="780"/>
        <v>724.16250000000218</v>
      </c>
      <c r="AS515" s="230">
        <f t="shared" si="781"/>
        <v>30.173437500000091</v>
      </c>
      <c r="AT515" s="208">
        <f t="shared" si="795"/>
        <v>594.21455907909763</v>
      </c>
      <c r="AU515" s="1058"/>
      <c r="AV515" s="230">
        <f t="shared" si="796"/>
        <v>469.80526320987707</v>
      </c>
      <c r="AW515" s="855">
        <f t="shared" si="782"/>
        <v>0.51250000000000151</v>
      </c>
      <c r="AX515" s="1044"/>
      <c r="AY515" s="1044"/>
      <c r="AZ515" s="1044"/>
      <c r="BA515" s="1044"/>
      <c r="BB515" s="1044"/>
      <c r="BC515" s="1044"/>
      <c r="BD515" s="1044"/>
      <c r="BE515" s="1044"/>
      <c r="BF515" s="1044"/>
      <c r="BG515" s="1044"/>
      <c r="BH515" s="1044"/>
      <c r="BI515" s="1044"/>
      <c r="BJ515" s="1044"/>
      <c r="BK515" s="1044"/>
      <c r="BL515" s="1044"/>
      <c r="BM515" s="1044"/>
      <c r="BN515" s="1044"/>
      <c r="BO515" s="1044"/>
      <c r="BP515" s="1044"/>
      <c r="BQ515" s="1044"/>
      <c r="BR515" s="1044"/>
      <c r="BS515" s="1044"/>
      <c r="BT515" s="1044"/>
      <c r="BU515" s="1044"/>
      <c r="BV515" s="1044"/>
      <c r="BW515" s="1044">
        <v>50.5</v>
      </c>
      <c r="BX515" s="1044">
        <v>431</v>
      </c>
      <c r="BY515" s="1054">
        <f t="shared" si="783"/>
        <v>64</v>
      </c>
      <c r="BZ515" s="1074">
        <f t="shared" si="784"/>
        <v>11.65625</v>
      </c>
      <c r="CA515" s="1044">
        <v>201</v>
      </c>
      <c r="CB515" s="1047">
        <f t="shared" si="744"/>
        <v>11775</v>
      </c>
      <c r="CC515" s="208">
        <f t="shared" si="785"/>
        <v>429.296875</v>
      </c>
      <c r="CD515" s="208">
        <f t="shared" si="786"/>
        <v>17.887369791666668</v>
      </c>
      <c r="CE515" s="230">
        <f t="shared" si="797"/>
        <v>443.84928955603203</v>
      </c>
      <c r="CF515" s="208"/>
      <c r="CG515" s="208">
        <f>CC515/(AVERAGE(BY515,BY516)*AVERAGE((D$512,D$507,D$486,D$505,D$493,D$494,D$498,D$465,D$470,D$463))*0.01)</f>
        <v>350.92161428786443</v>
      </c>
      <c r="CH515" s="855">
        <f t="shared" si="787"/>
        <v>0.57546497989276135</v>
      </c>
      <c r="CI515" s="1044"/>
      <c r="CJ515" s="1044"/>
      <c r="CK515" s="1044"/>
      <c r="CL515" s="1044"/>
      <c r="CM515" s="1044"/>
      <c r="CN515" s="1044" t="s">
        <v>180</v>
      </c>
    </row>
    <row r="516" spans="1:92">
      <c r="A516" s="1034">
        <f t="shared" si="716"/>
        <v>41671</v>
      </c>
      <c r="B516" s="1035">
        <f t="shared" si="791"/>
        <v>0.33333333333333398</v>
      </c>
      <c r="C516" s="854">
        <f t="shared" si="742"/>
        <v>24</v>
      </c>
      <c r="D516" s="1044"/>
      <c r="E516" s="1044"/>
      <c r="F516" s="1044"/>
      <c r="G516" s="1044"/>
      <c r="H516" s="1044"/>
      <c r="I516" s="1044"/>
      <c r="J516" s="1044"/>
      <c r="K516" s="1044"/>
      <c r="L516" s="1044"/>
      <c r="M516" s="1044"/>
      <c r="N516" s="1044"/>
      <c r="O516" s="1044"/>
      <c r="P516" s="1044"/>
      <c r="Q516" s="1044"/>
      <c r="R516" s="1044"/>
      <c r="S516" s="1044"/>
      <c r="T516" s="1044"/>
      <c r="U516" s="1044"/>
      <c r="V516" s="1044"/>
      <c r="W516" s="1044"/>
      <c r="X516" s="1044"/>
      <c r="Y516" s="1044"/>
      <c r="Z516" s="1044"/>
      <c r="AA516" s="1044"/>
      <c r="AB516" s="1044"/>
      <c r="AC516" s="1044"/>
      <c r="AD516" s="1044"/>
      <c r="AE516" s="1044"/>
      <c r="AF516" s="1044"/>
      <c r="AG516" s="1044"/>
      <c r="AH516" s="1044"/>
      <c r="AI516" s="1044"/>
      <c r="AJ516" s="1044"/>
      <c r="AK516" s="1044"/>
      <c r="AL516" s="1044">
        <v>35.6</v>
      </c>
      <c r="AM516" s="1044">
        <v>675</v>
      </c>
      <c r="AN516" s="208">
        <f t="shared" si="778"/>
        <v>60.480000000000004</v>
      </c>
      <c r="AO516" s="208">
        <f t="shared" si="779"/>
        <v>23.363095238095237</v>
      </c>
      <c r="AP516" s="1044">
        <v>362</v>
      </c>
      <c r="AQ516" s="76">
        <f t="shared" si="743"/>
        <v>21181.753125000003</v>
      </c>
      <c r="AR516" s="76">
        <f t="shared" si="780"/>
        <v>844.85625000000073</v>
      </c>
      <c r="AS516" s="230">
        <f t="shared" si="781"/>
        <v>35.202343750000033</v>
      </c>
      <c r="AT516" s="208">
        <f t="shared" si="795"/>
        <v>693.25031892561231</v>
      </c>
      <c r="AU516" s="1058"/>
      <c r="AV516" s="230">
        <f t="shared" si="796"/>
        <v>548.10614041152201</v>
      </c>
      <c r="AW516" s="855">
        <f t="shared" si="782"/>
        <v>0.59791666666666721</v>
      </c>
      <c r="AX516" s="1044"/>
      <c r="AY516" s="1044"/>
      <c r="AZ516" s="1044"/>
      <c r="BA516" s="1044"/>
      <c r="BB516" s="1044"/>
      <c r="BC516" s="1044"/>
      <c r="BD516" s="1044"/>
      <c r="BE516" s="1044"/>
      <c r="BF516" s="1044"/>
      <c r="BG516" s="1044"/>
      <c r="BH516" s="1044"/>
      <c r="BI516" s="1044"/>
      <c r="BJ516" s="1044"/>
      <c r="BK516" s="1044"/>
      <c r="BL516" s="1044"/>
      <c r="BM516" s="1044"/>
      <c r="BN516" s="1044"/>
      <c r="BO516" s="1044"/>
      <c r="BP516" s="1044"/>
      <c r="BQ516" s="1044"/>
      <c r="BR516" s="1044"/>
      <c r="BS516" s="1044"/>
      <c r="BT516" s="1044"/>
      <c r="BU516" s="1044"/>
      <c r="BV516" s="1044"/>
      <c r="BW516" s="1044">
        <v>50.6</v>
      </c>
      <c r="BX516" s="1044">
        <v>447</v>
      </c>
      <c r="BY516" s="1054">
        <f t="shared" si="783"/>
        <v>32</v>
      </c>
      <c r="BZ516" s="1054">
        <f t="shared" si="784"/>
        <v>23.3125</v>
      </c>
      <c r="CA516" s="1044">
        <v>208</v>
      </c>
      <c r="CB516" s="1047">
        <f t="shared" si="744"/>
        <v>12204.296875</v>
      </c>
      <c r="CC516" s="208">
        <f t="shared" si="785"/>
        <v>429.296875</v>
      </c>
      <c r="CD516" s="208">
        <f t="shared" si="786"/>
        <v>17.887369791666668</v>
      </c>
      <c r="CE516" s="230">
        <f t="shared" si="797"/>
        <v>665.77393433404802</v>
      </c>
      <c r="CF516" s="208"/>
      <c r="CG516" s="208">
        <f>CC516/(AVERAGE(BY516,BY517)*AVERAGE((D$512,D$507,D$486,D$505,D$493,D$494,D$498,D$465,D$470,D$463))*0.01)</f>
        <v>526.38242143179662</v>
      </c>
      <c r="CH516" s="855">
        <f t="shared" si="787"/>
        <v>0.57546497989276135</v>
      </c>
      <c r="CI516" s="1044"/>
      <c r="CJ516" s="1044"/>
      <c r="CK516" s="1044"/>
      <c r="CL516" s="1044"/>
      <c r="CM516" s="1044"/>
      <c r="CN516" s="1044" t="s">
        <v>181</v>
      </c>
    </row>
    <row r="517" spans="1:92">
      <c r="A517" s="1034">
        <f t="shared" si="716"/>
        <v>41672</v>
      </c>
      <c r="B517" s="1035">
        <f t="shared" si="791"/>
        <v>0.33333333333333398</v>
      </c>
      <c r="C517" s="854">
        <f t="shared" si="742"/>
        <v>24</v>
      </c>
      <c r="D517" s="1044"/>
      <c r="E517" s="1044"/>
      <c r="F517" s="1044"/>
      <c r="G517" s="1044"/>
      <c r="H517" s="1044"/>
      <c r="I517" s="1044"/>
      <c r="J517" s="1044"/>
      <c r="K517" s="1044"/>
      <c r="L517" s="1044"/>
      <c r="M517" s="1044"/>
      <c r="N517" s="1044"/>
      <c r="O517" s="1044"/>
      <c r="P517" s="1044"/>
      <c r="Q517" s="1044"/>
      <c r="R517" s="1044"/>
      <c r="S517" s="1044"/>
      <c r="T517" s="1044"/>
      <c r="U517" s="1044"/>
      <c r="V517" s="1044"/>
      <c r="W517" s="1044"/>
      <c r="X517" s="1044"/>
      <c r="Y517" s="1044"/>
      <c r="Z517" s="1044"/>
      <c r="AA517" s="1044"/>
      <c r="AB517" s="1044"/>
      <c r="AC517" s="1044"/>
      <c r="AD517" s="1044"/>
      <c r="AE517" s="1044"/>
      <c r="AF517" s="1044"/>
      <c r="AG517" s="1044"/>
      <c r="AH517" s="1044"/>
      <c r="AI517" s="1044"/>
      <c r="AJ517" s="1044"/>
      <c r="AK517" s="1044"/>
      <c r="AL517" s="1044">
        <v>35.700000000000003</v>
      </c>
      <c r="AM517" s="1044">
        <v>703</v>
      </c>
      <c r="AN517" s="208">
        <f t="shared" si="778"/>
        <v>60.480000000000004</v>
      </c>
      <c r="AO517" s="208">
        <f t="shared" si="779"/>
        <v>23.363095238095237</v>
      </c>
      <c r="AP517" s="1044">
        <v>377</v>
      </c>
      <c r="AQ517" s="76">
        <f t="shared" si="743"/>
        <v>22086.956250000003</v>
      </c>
      <c r="AR517" s="76">
        <f t="shared" si="780"/>
        <v>905.203125</v>
      </c>
      <c r="AS517" s="230">
        <f t="shared" si="781"/>
        <v>37.716796875</v>
      </c>
      <c r="AT517" s="208">
        <f t="shared" si="795"/>
        <v>742.7681988488697</v>
      </c>
      <c r="AU517" s="1058"/>
      <c r="AV517" s="230">
        <f t="shared" si="796"/>
        <v>587.25657901234456</v>
      </c>
      <c r="AW517" s="855">
        <f t="shared" si="782"/>
        <v>0.640625</v>
      </c>
      <c r="AX517" s="1044"/>
      <c r="AY517" s="1044"/>
      <c r="AZ517" s="1044"/>
      <c r="BA517" s="1044"/>
      <c r="BB517" s="1044"/>
      <c r="BC517" s="1044"/>
      <c r="BD517" s="1044"/>
      <c r="BE517" s="1044"/>
      <c r="BF517" s="1044"/>
      <c r="BG517" s="1044"/>
      <c r="BH517" s="1044"/>
      <c r="BI517" s="1044"/>
      <c r="BJ517" s="1044"/>
      <c r="BK517" s="1044"/>
      <c r="BL517" s="1044"/>
      <c r="BM517" s="1044"/>
      <c r="BN517" s="1044"/>
      <c r="BO517" s="1044"/>
      <c r="BP517" s="1044"/>
      <c r="BQ517" s="1044"/>
      <c r="BR517" s="1044"/>
      <c r="BS517" s="1044"/>
      <c r="BT517" s="1044"/>
      <c r="BU517" s="1044"/>
      <c r="BV517" s="1044"/>
      <c r="BW517" s="1044">
        <v>50.6</v>
      </c>
      <c r="BX517" s="1044">
        <v>463</v>
      </c>
      <c r="BY517" s="1054">
        <f t="shared" si="783"/>
        <v>32</v>
      </c>
      <c r="BZ517" s="1054">
        <f t="shared" si="784"/>
        <v>23.3125</v>
      </c>
      <c r="CA517" s="1044">
        <v>218</v>
      </c>
      <c r="CB517" s="1047">
        <f t="shared" si="744"/>
        <v>12817.578125</v>
      </c>
      <c r="CC517" s="208">
        <f t="shared" si="785"/>
        <v>613.28125</v>
      </c>
      <c r="CD517" s="208">
        <f t="shared" si="786"/>
        <v>25.553385416666668</v>
      </c>
      <c r="CE517" s="230">
        <f t="shared" si="797"/>
        <v>951.10562047721146</v>
      </c>
      <c r="CF517" s="208"/>
      <c r="CG517" s="208">
        <f>CC517/(AVERAGE(BY517,BY518)*AVERAGE((D$512,D$507,D$486,D$505,D$493,D$494,D$498,D$465,D$470,D$463))*0.01)</f>
        <v>751.97488775970953</v>
      </c>
      <c r="CH517" s="855">
        <f t="shared" si="787"/>
        <v>0.82209282841823061</v>
      </c>
      <c r="CI517" s="1044"/>
      <c r="CJ517" s="1044"/>
      <c r="CK517" s="1044"/>
      <c r="CL517" s="1044"/>
      <c r="CM517" s="1044"/>
      <c r="CN517" s="1044"/>
    </row>
    <row r="518" spans="1:92">
      <c r="A518" s="1034">
        <f t="shared" si="716"/>
        <v>41673</v>
      </c>
      <c r="B518" s="1035">
        <f t="shared" si="791"/>
        <v>0.33333333333333398</v>
      </c>
      <c r="C518" s="854">
        <f t="shared" si="742"/>
        <v>24</v>
      </c>
      <c r="D518" s="1044"/>
      <c r="E518" s="1044"/>
      <c r="F518" s="1044"/>
      <c r="G518" s="1044"/>
      <c r="H518" s="1044"/>
      <c r="I518" s="1044"/>
      <c r="J518" s="1044"/>
      <c r="K518" s="1044"/>
      <c r="L518" s="1044"/>
      <c r="M518" s="1044"/>
      <c r="N518" s="1044"/>
      <c r="O518" s="1044"/>
      <c r="P518" s="1044"/>
      <c r="Q518" s="1044"/>
      <c r="R518" s="1044"/>
      <c r="S518" s="1044"/>
      <c r="T518" s="1044"/>
      <c r="U518" s="1044"/>
      <c r="V518" s="1044"/>
      <c r="W518" s="1044"/>
      <c r="X518" s="1044"/>
      <c r="Y518" s="1044"/>
      <c r="Z518" s="1044"/>
      <c r="AA518" s="1044"/>
      <c r="AB518" s="1044"/>
      <c r="AC518" s="1044"/>
      <c r="AD518" s="1044"/>
      <c r="AE518" s="1044"/>
      <c r="AF518" s="1044"/>
      <c r="AG518" s="1044"/>
      <c r="AH518" s="1044"/>
      <c r="AI518" s="1044"/>
      <c r="AJ518" s="1044"/>
      <c r="AK518" s="1044"/>
      <c r="AL518" s="1044">
        <v>35.799999999999997</v>
      </c>
      <c r="AM518" s="1044">
        <v>731</v>
      </c>
      <c r="AN518" s="208">
        <f t="shared" si="778"/>
        <v>60.480000000000004</v>
      </c>
      <c r="AO518" s="208">
        <f t="shared" si="779"/>
        <v>23.363095238095237</v>
      </c>
      <c r="AP518" s="1044">
        <v>391</v>
      </c>
      <c r="AQ518" s="76">
        <f t="shared" si="743"/>
        <v>22931.8125</v>
      </c>
      <c r="AR518" s="76">
        <f t="shared" si="780"/>
        <v>844.85624999999709</v>
      </c>
      <c r="AS518" s="230">
        <f t="shared" si="781"/>
        <v>35.202343749999876</v>
      </c>
      <c r="AT518" s="208">
        <f t="shared" si="795"/>
        <v>693.25031892560935</v>
      </c>
      <c r="AU518" s="1058"/>
      <c r="AV518" s="230">
        <f t="shared" si="796"/>
        <v>548.10614041151973</v>
      </c>
      <c r="AW518" s="855">
        <f t="shared" si="782"/>
        <v>0.59791666666666465</v>
      </c>
      <c r="AX518" s="1044"/>
      <c r="AY518" s="1044"/>
      <c r="AZ518" s="1044"/>
      <c r="BA518" s="1044"/>
      <c r="BB518" s="1044"/>
      <c r="BC518" s="1044"/>
      <c r="BD518" s="1044"/>
      <c r="BE518" s="1044"/>
      <c r="BF518" s="1044"/>
      <c r="BG518" s="1044"/>
      <c r="BH518" s="1044"/>
      <c r="BI518" s="1044"/>
      <c r="BJ518" s="1044"/>
      <c r="BK518" s="1044"/>
      <c r="BL518" s="1044"/>
      <c r="BM518" s="1044"/>
      <c r="BN518" s="1044"/>
      <c r="BO518" s="1044"/>
      <c r="BP518" s="1044"/>
      <c r="BQ518" s="1044"/>
      <c r="BR518" s="1044"/>
      <c r="BS518" s="1044"/>
      <c r="BT518" s="1044"/>
      <c r="BU518" s="1044"/>
      <c r="BV518" s="1044"/>
      <c r="BW518" s="1044">
        <v>50.7</v>
      </c>
      <c r="BX518" s="1044">
        <v>479</v>
      </c>
      <c r="BY518" s="1054">
        <f t="shared" si="783"/>
        <v>32</v>
      </c>
      <c r="BZ518" s="1054">
        <f t="shared" si="784"/>
        <v>23.3125</v>
      </c>
      <c r="CA518" s="1044">
        <v>227</v>
      </c>
      <c r="CB518" s="1047">
        <f t="shared" si="744"/>
        <v>13369.53125</v>
      </c>
      <c r="CC518" s="208">
        <f t="shared" si="785"/>
        <v>551.953125</v>
      </c>
      <c r="CD518" s="208">
        <f t="shared" si="786"/>
        <v>22.998046875</v>
      </c>
      <c r="CE518" s="230">
        <f t="shared" si="797"/>
        <v>855.99505842949031</v>
      </c>
      <c r="CF518" s="208"/>
      <c r="CG518" s="208">
        <f>CC518/(AVERAGE(BY518,BY519)*AVERAGE((D$512,D$507,D$486,D$505,D$493,D$494,D$498,D$465,D$470,D$463))*0.01)</f>
        <v>676.77739898373852</v>
      </c>
      <c r="CH518" s="855">
        <f t="shared" si="787"/>
        <v>0.73988354557640745</v>
      </c>
      <c r="CI518" s="1044"/>
      <c r="CJ518" s="1044"/>
      <c r="CK518" s="1044"/>
      <c r="CL518" s="1044"/>
      <c r="CM518" s="1044"/>
      <c r="CN518" s="1044"/>
    </row>
    <row r="519" spans="1:92">
      <c r="A519" s="1034">
        <f t="shared" si="716"/>
        <v>41674</v>
      </c>
      <c r="B519" s="1035">
        <f t="shared" si="791"/>
        <v>0.33333333333333398</v>
      </c>
      <c r="C519" s="854">
        <f t="shared" si="742"/>
        <v>24</v>
      </c>
      <c r="D519" s="1044"/>
      <c r="E519" s="1044"/>
      <c r="F519" s="1044"/>
      <c r="G519" s="1044"/>
      <c r="H519" s="1044"/>
      <c r="I519" s="1044"/>
      <c r="J519" s="1044"/>
      <c r="K519" s="1044"/>
      <c r="L519" s="1044"/>
      <c r="M519" s="1044"/>
      <c r="N519" s="1044"/>
      <c r="O519" s="1044"/>
      <c r="P519" s="1044"/>
      <c r="Q519" s="1044"/>
      <c r="R519" s="1044"/>
      <c r="S519" s="1044"/>
      <c r="T519" s="1044"/>
      <c r="U519" s="1044"/>
      <c r="V519" s="1044"/>
      <c r="W519" s="1044"/>
      <c r="X519" s="1044"/>
      <c r="Y519" s="1044"/>
      <c r="Z519" s="1044"/>
      <c r="AA519" s="1044"/>
      <c r="AB519" s="1044"/>
      <c r="AC519" s="1044"/>
      <c r="AD519" s="1044"/>
      <c r="AE519" s="1044"/>
      <c r="AF519" s="1044"/>
      <c r="AG519" s="1044"/>
      <c r="AH519" s="1044"/>
      <c r="AI519" s="1044"/>
      <c r="AJ519" s="1044"/>
      <c r="AK519" s="1044"/>
      <c r="AL519" s="1044">
        <v>35.6</v>
      </c>
      <c r="AM519" s="1044">
        <v>759</v>
      </c>
      <c r="AN519" s="208">
        <f t="shared" ref="AN519:AN527" si="798">(AM519-AM518)*AQ$1/((C518)/24)</f>
        <v>60.480000000000004</v>
      </c>
      <c r="AO519" s="208">
        <f t="shared" ref="AO519:AO527" si="799">AQ$3/AN519</f>
        <v>23.363095238095237</v>
      </c>
      <c r="AP519" s="1044">
        <v>403</v>
      </c>
      <c r="AQ519" s="76">
        <f t="shared" si="743"/>
        <v>23655.975000000002</v>
      </c>
      <c r="AR519" s="76">
        <f t="shared" ref="AR519:AR527" si="800">(AQ519-AQ518)/(C519/24)</f>
        <v>724.16250000000218</v>
      </c>
      <c r="AS519" s="230">
        <f t="shared" ref="AS519:AS527" si="801">(AQ519-AQ518)/C519</f>
        <v>30.173437500000091</v>
      </c>
      <c r="AT519" s="208">
        <f t="shared" si="795"/>
        <v>594.21455907909763</v>
      </c>
      <c r="AU519" s="1044"/>
      <c r="AV519" s="230">
        <f t="shared" si="796"/>
        <v>469.80526320987707</v>
      </c>
      <c r="AW519" s="855">
        <f t="shared" si="782"/>
        <v>0.51250000000000151</v>
      </c>
      <c r="AX519" s="1044"/>
      <c r="AY519" s="1044"/>
      <c r="AZ519" s="1044"/>
      <c r="BA519" s="1044"/>
      <c r="BB519" s="1044"/>
      <c r="BC519" s="1044"/>
      <c r="BD519" s="1044"/>
      <c r="BE519" s="1044"/>
      <c r="BF519" s="1044"/>
      <c r="BG519" s="1044"/>
      <c r="BH519" s="1044"/>
      <c r="BI519" s="1044"/>
      <c r="BJ519" s="1044"/>
      <c r="BK519" s="1044"/>
      <c r="BL519" s="1044"/>
      <c r="BM519" s="1044"/>
      <c r="BN519" s="1044"/>
      <c r="BO519" s="1044"/>
      <c r="BP519" s="1044"/>
      <c r="BQ519" s="1044"/>
      <c r="BR519" s="1044"/>
      <c r="BS519" s="1044"/>
      <c r="BT519" s="1044"/>
      <c r="BU519" s="1044"/>
      <c r="BV519" s="1044"/>
      <c r="BW519" s="1044">
        <v>50.5</v>
      </c>
      <c r="BX519" s="1044">
        <v>495</v>
      </c>
      <c r="BY519" s="1054">
        <f t="shared" ref="BY519:BY527" si="802">(BX519-BX518)*CB$1/((C519)/24)</f>
        <v>32</v>
      </c>
      <c r="BZ519" s="1054">
        <f t="shared" ref="BZ519:BZ527" si="803">CB$3/BY519</f>
        <v>23.3125</v>
      </c>
      <c r="CA519" s="1044">
        <v>233</v>
      </c>
      <c r="CB519" s="1047">
        <f t="shared" si="744"/>
        <v>13737.5</v>
      </c>
      <c r="CC519" s="208">
        <f t="shared" ref="CC519:CC527" si="804">(CB519-CB518)/((C519/24))</f>
        <v>367.96875</v>
      </c>
      <c r="CD519" s="208">
        <f t="shared" ref="CD519:CD527" si="805">(CB519-CB518)/(C519)</f>
        <v>15.33203125</v>
      </c>
      <c r="CE519" s="230">
        <f t="shared" si="797"/>
        <v>570.66337228632688</v>
      </c>
      <c r="CF519" s="208"/>
      <c r="CG519" s="208">
        <f>CC519/(AVERAGE(BY519,BY520)*AVERAGE((D$512,D$507,D$486,D$505,D$493,D$494,D$498,D$465,D$470,D$463))*0.01)</f>
        <v>451.18493265582572</v>
      </c>
      <c r="CH519" s="855">
        <f t="shared" si="787"/>
        <v>0.49325569705093836</v>
      </c>
      <c r="CI519" s="1044"/>
      <c r="CJ519" s="1044"/>
      <c r="CK519" s="1044"/>
      <c r="CL519" s="1044"/>
      <c r="CM519" s="1044"/>
      <c r="CN519" s="1044"/>
    </row>
    <row r="520" spans="1:92">
      <c r="A520" s="1034">
        <f t="shared" si="716"/>
        <v>41675</v>
      </c>
      <c r="B520" s="1035">
        <f t="shared" si="791"/>
        <v>0.33333333333333398</v>
      </c>
      <c r="C520" s="854">
        <f t="shared" si="742"/>
        <v>24</v>
      </c>
      <c r="D520" s="1044"/>
      <c r="E520" s="1044"/>
      <c r="F520" s="1044"/>
      <c r="G520" s="1044"/>
      <c r="H520" s="1044"/>
      <c r="I520" s="1044"/>
      <c r="J520" s="1044"/>
      <c r="K520" s="1044"/>
      <c r="L520" s="1044"/>
      <c r="M520" s="1044"/>
      <c r="N520" s="1044"/>
      <c r="O520" s="1044"/>
      <c r="P520" s="1044"/>
      <c r="Q520" s="1044"/>
      <c r="R520" s="1044"/>
      <c r="S520" s="1044"/>
      <c r="T520" s="1044"/>
      <c r="U520" s="1044"/>
      <c r="V520" s="1044"/>
      <c r="W520" s="1044"/>
      <c r="X520" s="1044"/>
      <c r="Y520" s="1044"/>
      <c r="Z520" s="1044"/>
      <c r="AA520" s="1044"/>
      <c r="AB520" s="1044"/>
      <c r="AC520" s="1044"/>
      <c r="AD520" s="1044"/>
      <c r="AE520" s="1044"/>
      <c r="AF520" s="1044"/>
      <c r="AG520" s="1044"/>
      <c r="AH520" s="1044"/>
      <c r="AI520" s="1044"/>
      <c r="AJ520" s="1044"/>
      <c r="AK520" s="1044"/>
      <c r="AL520" s="1044">
        <v>35.5</v>
      </c>
      <c r="AM520" s="1044">
        <v>787</v>
      </c>
      <c r="AN520" s="208">
        <f t="shared" si="798"/>
        <v>60.480000000000004</v>
      </c>
      <c r="AO520" s="208">
        <f t="shared" si="799"/>
        <v>23.363095238095237</v>
      </c>
      <c r="AP520" s="1044">
        <v>418</v>
      </c>
      <c r="AQ520" s="76">
        <f t="shared" si="743"/>
        <v>24561.178125000002</v>
      </c>
      <c r="AR520" s="76">
        <f t="shared" si="800"/>
        <v>905.203125</v>
      </c>
      <c r="AS520" s="230">
        <f t="shared" si="801"/>
        <v>37.716796875</v>
      </c>
      <c r="AT520" s="208">
        <f t="shared" si="795"/>
        <v>742.7681988488697</v>
      </c>
      <c r="AU520" s="1044"/>
      <c r="AV520" s="230">
        <f t="shared" si="796"/>
        <v>587.25657901234456</v>
      </c>
      <c r="AW520" s="855">
        <f t="shared" si="782"/>
        <v>0.640625</v>
      </c>
      <c r="AX520" s="1044"/>
      <c r="AY520" s="1044"/>
      <c r="AZ520" s="1044"/>
      <c r="BA520" s="1044"/>
      <c r="BB520" s="1044"/>
      <c r="BC520" s="1044"/>
      <c r="BD520" s="1044"/>
      <c r="BE520" s="1044"/>
      <c r="BF520" s="1044"/>
      <c r="BG520" s="1044"/>
      <c r="BH520" s="1044"/>
      <c r="BI520" s="1044"/>
      <c r="BJ520" s="1044"/>
      <c r="BK520" s="1044"/>
      <c r="BL520" s="1044"/>
      <c r="BM520" s="1044"/>
      <c r="BN520" s="1044"/>
      <c r="BO520" s="1044"/>
      <c r="BP520" s="1044"/>
      <c r="BQ520" s="1044"/>
      <c r="BR520" s="1044"/>
      <c r="BS520" s="1044"/>
      <c r="BT520" s="1044"/>
      <c r="BU520" s="1044"/>
      <c r="BV520" s="1044"/>
      <c r="BW520" s="1044">
        <v>50.4</v>
      </c>
      <c r="BX520" s="1044">
        <v>511</v>
      </c>
      <c r="BY520" s="1054">
        <f t="shared" si="802"/>
        <v>32</v>
      </c>
      <c r="BZ520" s="1054">
        <f t="shared" si="803"/>
        <v>23.3125</v>
      </c>
      <c r="CA520" s="1044">
        <v>240</v>
      </c>
      <c r="CB520" s="1047">
        <f t="shared" si="744"/>
        <v>14166.796875</v>
      </c>
      <c r="CC520" s="208">
        <f t="shared" si="804"/>
        <v>429.296875</v>
      </c>
      <c r="CD520" s="208">
        <f t="shared" si="805"/>
        <v>17.887369791666668</v>
      </c>
      <c r="CE520" s="230">
        <f t="shared" si="797"/>
        <v>665.77393433404802</v>
      </c>
      <c r="CF520" s="208"/>
      <c r="CG520" s="208">
        <f>CC520/(AVERAGE(BY520,BY521)*AVERAGE((D$512,D$507,D$486,D$505,D$493,D$494,D$498,D$465,D$470,D$463))*0.01)</f>
        <v>526.38242143179662</v>
      </c>
      <c r="CH520" s="855">
        <f t="shared" si="787"/>
        <v>0.57546497989276135</v>
      </c>
      <c r="CI520" s="1044"/>
      <c r="CJ520" s="1044"/>
      <c r="CK520" s="1044"/>
      <c r="CL520" s="1044"/>
      <c r="CM520" s="1044"/>
      <c r="CN520" s="1044"/>
    </row>
    <row r="521" spans="1:92" s="337" customFormat="1">
      <c r="A521" s="1036">
        <f t="shared" si="716"/>
        <v>41676</v>
      </c>
      <c r="B521" s="1037">
        <f t="shared" si="791"/>
        <v>0.33333333333333398</v>
      </c>
      <c r="C521" s="847">
        <f t="shared" si="742"/>
        <v>24</v>
      </c>
      <c r="D521" s="1075">
        <v>2.7183616951499499</v>
      </c>
      <c r="E521" s="1075">
        <v>73.994638069705161</v>
      </c>
      <c r="F521" s="1023"/>
      <c r="G521" s="1023">
        <v>6.76</v>
      </c>
      <c r="H521" s="1023"/>
      <c r="I521" s="1023"/>
      <c r="J521" s="1023"/>
      <c r="K521" s="1023"/>
      <c r="L521" s="1023"/>
      <c r="M521" s="1023"/>
      <c r="N521" s="1023"/>
      <c r="O521" s="1023"/>
      <c r="P521" s="1023"/>
      <c r="Q521" s="1023"/>
      <c r="R521" s="1023"/>
      <c r="S521" s="1023"/>
      <c r="T521" s="1023"/>
      <c r="U521" s="1023"/>
      <c r="V521" s="1075">
        <v>1.6249044765313891</v>
      </c>
      <c r="W521" s="1075">
        <v>65.099009900990112</v>
      </c>
      <c r="X521" s="1023"/>
      <c r="Y521" s="1023"/>
      <c r="Z521" s="1023"/>
      <c r="AA521" s="1023"/>
      <c r="AB521" s="1023"/>
      <c r="AC521" s="1023"/>
      <c r="AD521" s="1021">
        <f>D512*(100-E512)/(100-W521)</f>
        <v>1.4657951422728466</v>
      </c>
      <c r="AE521" s="1055">
        <f>D512-V521</f>
        <v>0.81469690738794154</v>
      </c>
      <c r="AF521" s="847">
        <f>100*(AVERAGE(D$512,D$507,D$486,D$505,D$493,D$494,D$498,D$465,D$470,D$521)-V521)/AVERAGE(D$512,D$507,D$486,D$505,D$493,D$494,D$498,D$465,D$470,D$521)</f>
        <v>36.114501173255412</v>
      </c>
      <c r="AG521" s="847">
        <f>100*(1-((100-AVERAGE(E$512,E$507,E$486,E$505,E$493,E$494,E$498,E$465,E$470,E$521))/(100-W521)))</f>
        <v>39.078234008869806</v>
      </c>
      <c r="AH521" s="1055">
        <f>E512-W521</f>
        <v>13.931293129313048</v>
      </c>
      <c r="AI521" s="847">
        <f>100*(1-((V521*W521)/(AVERAGE(D$512,D$507,D$486,D$505,D$493,D$494,D$498,D$465,D$470,D$521)*AVERAGE(E$512,E$507,E$486,E$505,E$493,E$494,E$498,E$465,E$470,E$521))))</f>
        <v>47.180541276610477</v>
      </c>
      <c r="AJ521" s="847">
        <f>100*100*((AVERAGE(E$512,E$507,E$486,E$505,E$493,E$494,E$498,E$465,E$470,E$521)-W521)/((100-W521)*AVERAGE(E$512,E$507,E$486,E$505,E$493,E$494,E$498,E$465,E$470,E$521)))</f>
        <v>49.630905867210728</v>
      </c>
      <c r="AK521" s="1023">
        <v>7</v>
      </c>
      <c r="AL521" s="1023">
        <v>35.799999999999997</v>
      </c>
      <c r="AM521" s="1023">
        <v>815</v>
      </c>
      <c r="AN521" s="334">
        <f t="shared" si="798"/>
        <v>60.480000000000004</v>
      </c>
      <c r="AO521" s="334">
        <f t="shared" si="799"/>
        <v>23.363095238095237</v>
      </c>
      <c r="AP521" s="1023">
        <v>435</v>
      </c>
      <c r="AQ521" s="348">
        <f t="shared" si="743"/>
        <v>25587.075000000001</v>
      </c>
      <c r="AR521" s="348">
        <f t="shared" si="800"/>
        <v>1025.8968749999985</v>
      </c>
      <c r="AS521" s="512">
        <f t="shared" si="801"/>
        <v>42.745703124999942</v>
      </c>
      <c r="AT521" s="334">
        <f>AR521/(AVERAGE(AN521,AN522)*(AVERAGE(D$512,D$507,D$486,D$505,D$493,D$494,D$498,D$465,D$470,D$521))*AVERAGE(E$512,E$507,E$486,E$505,E$493,E$494,E$498,E$465,E$470,E$521)*0.0001)</f>
        <v>847.00047187189318</v>
      </c>
      <c r="AU521" s="334">
        <f>(AQ521-AQ515)/(AVERAGE(AN515:AN521)*((AVERAGE(D$512,D$507,D$486,D$505,D$493,D$494,D$498,D$465,D$470,D$521)*AVERAGE(E$512,E$507,E$486,E$505,E$493,E$494,E$498,E$465,E$470,E$521))-(V521*W521))*0.0001*(SUM(C515:C521)/24))</f>
        <v>1312.4809981919457</v>
      </c>
      <c r="AV521" s="512">
        <f>AR521/(AVERAGE(AN522,AN521)*AVERAGE(D$512,D$507,D$486,D$505,D$493,D$494,D$498,D$465,D$470,D$521)*0.01)</f>
        <v>666.90869463457545</v>
      </c>
      <c r="AW521" s="848">
        <f t="shared" si="782"/>
        <v>0.72604166666666559</v>
      </c>
      <c r="AX521" s="1023"/>
      <c r="AY521" s="1023"/>
      <c r="AZ521" s="1023"/>
      <c r="BA521" s="1023"/>
      <c r="BB521" s="1023"/>
      <c r="BC521" s="1023"/>
      <c r="BD521" s="1023"/>
      <c r="BE521" s="1023"/>
      <c r="BF521" s="1023"/>
      <c r="BG521" s="1075">
        <v>1.6615941432919275</v>
      </c>
      <c r="BH521" s="1075">
        <v>63.366336633663551</v>
      </c>
      <c r="BI521" s="1023"/>
      <c r="BJ521" s="1023"/>
      <c r="BK521" s="1023"/>
      <c r="BL521" s="1023"/>
      <c r="BM521" s="1023"/>
      <c r="BN521" s="1023"/>
      <c r="BO521" s="847">
        <f>D512*(100-E512)/(100-BH521)</f>
        <v>1.3964669936518401</v>
      </c>
      <c r="BP521" s="1055">
        <f>D512-BG521</f>
        <v>0.77800724062740323</v>
      </c>
      <c r="BQ521" s="1056">
        <f>100*(AVERAGE(D$512,D$507,D$486,D$505,D$493,D$494,D$498,D$465,D$470,D$521)-BG521)/AVERAGE(D$512,D$507,D$486,D$505,D$493,D$494,D$498,D$465,D$470,D$521)</f>
        <v>34.671993200240578</v>
      </c>
      <c r="BR521" s="1056">
        <f>100*(1-((100-AVERAGE(E$512,E$507,E$486,E$505,E$493,E$494,E$498,E$465,E$470,E$521))/(100-BH521)))</f>
        <v>41.959668886828403</v>
      </c>
      <c r="BS521" s="1055">
        <f>E512-BH521</f>
        <v>15.663966396639609</v>
      </c>
      <c r="BT521" s="1055">
        <f>100*(1-((BG521*BH521)/(AVERAGE(D$512,D$507,D$486,D$505,D$493,D$494,D$498,D$465,D$470,D$521)*AVERAGE(E$512,E$507,E$486,E$505,E$493,E$494,E$498,E$465,E$470,E$521))))</f>
        <v>47.425484296964662</v>
      </c>
      <c r="BU521" s="847">
        <f>100*100*((AVERAGE(E$512,E$507,E$486,E$505,E$493,E$494,E$498,E$465,E$470,E$521)-BH521)/((100-BH521)*AVERAGE(E$512,E$507,E$486,E$505,E$493,E$494,E$498,E$465,E$470,E$521)))</f>
        <v>53.290442353890278</v>
      </c>
      <c r="BV521" s="1023">
        <v>7.14</v>
      </c>
      <c r="BW521" s="1023">
        <v>50.5</v>
      </c>
      <c r="BX521" s="1023">
        <v>527</v>
      </c>
      <c r="BY521" s="1056">
        <f t="shared" si="802"/>
        <v>32</v>
      </c>
      <c r="BZ521" s="1056">
        <f t="shared" si="803"/>
        <v>23.3125</v>
      </c>
      <c r="CA521" s="1023">
        <v>250</v>
      </c>
      <c r="CB521" s="1057">
        <f t="shared" si="744"/>
        <v>14780.078125</v>
      </c>
      <c r="CC521" s="334">
        <f t="shared" si="804"/>
        <v>613.28125</v>
      </c>
      <c r="CD521" s="334">
        <f t="shared" si="805"/>
        <v>25.553385416666668</v>
      </c>
      <c r="CE521" s="512">
        <f>CC521/(AVERAGE(BY522,BY521)*(AVERAGE(D$512,D$507,D$486,D$505,D$493,D$494,D$498,D$465,D$470,D$521))*AVERAGE(E$512,E$507,E$486,E$505,E$493,E$494,E$498,E$465,E$470,E$521)*0.0001)</f>
        <v>956.97686025698272</v>
      </c>
      <c r="CF521" s="334">
        <f>(CB521-CB515)/(AVERAGE(BY515:BY521)*((AVERAGE(D$512,D$507,D$486,D$505,D$493,D$494,D$498,D$465,D$470,D$521)*AVERAGE(E$512,E$507,E$486,E$505,E$493,E$494,E$498,E$465,E$470,E$521))-(BG521*BH521))*0.0001*(SUM(C515:C521)/24))</f>
        <v>1235.935353315763</v>
      </c>
      <c r="CG521" s="334">
        <f>CC521/(AVERAGE(BY521,BY522)*AVERAGE((D$512,D$507,D$486,D$505,D$493,D$494,D$498,D$465,D$470,D$521))*0.01)</f>
        <v>753.50157392357096</v>
      </c>
      <c r="CH521" s="848">
        <f t="shared" si="787"/>
        <v>0.82209282841823061</v>
      </c>
      <c r="CI521" s="1023"/>
      <c r="CJ521" s="1023"/>
      <c r="CK521" s="1023"/>
      <c r="CL521" s="1023"/>
      <c r="CM521" s="1023"/>
      <c r="CN521" s="1023"/>
    </row>
    <row r="522" spans="1:92" ht="36.75" customHeight="1">
      <c r="A522" s="1034">
        <f t="shared" si="716"/>
        <v>41677</v>
      </c>
      <c r="B522" s="1035">
        <f t="shared" si="791"/>
        <v>0.33333333333333398</v>
      </c>
      <c r="C522" s="854">
        <f t="shared" si="742"/>
        <v>24</v>
      </c>
      <c r="D522" s="1044"/>
      <c r="E522" s="1044"/>
      <c r="F522" s="1044"/>
      <c r="G522" s="1044"/>
      <c r="H522" s="1044"/>
      <c r="I522" s="1044"/>
      <c r="J522" s="1044"/>
      <c r="K522" s="1044"/>
      <c r="L522" s="1044"/>
      <c r="M522" s="1044"/>
      <c r="N522" s="1044"/>
      <c r="O522" s="1044"/>
      <c r="P522" s="1044"/>
      <c r="Q522" s="1044"/>
      <c r="R522" s="1044"/>
      <c r="S522" s="1044"/>
      <c r="T522" s="1044"/>
      <c r="U522" s="1044"/>
      <c r="V522" s="1044"/>
      <c r="W522" s="1044"/>
      <c r="X522" s="1044"/>
      <c r="Y522" s="1044"/>
      <c r="Z522" s="1044"/>
      <c r="AA522" s="1044"/>
      <c r="AB522" s="1044"/>
      <c r="AC522" s="1044"/>
      <c r="AD522" s="1044"/>
      <c r="AE522" s="1044"/>
      <c r="AF522" s="1044"/>
      <c r="AG522" s="1044"/>
      <c r="AH522" s="1044"/>
      <c r="AI522" s="1044"/>
      <c r="AJ522" s="1044"/>
      <c r="AK522" s="1044"/>
      <c r="AL522" s="1044">
        <v>35.700000000000003</v>
      </c>
      <c r="AM522" s="1044">
        <v>843</v>
      </c>
      <c r="AN522" s="208">
        <f t="shared" si="798"/>
        <v>60.480000000000004</v>
      </c>
      <c r="AO522" s="208">
        <f t="shared" si="799"/>
        <v>23.363095238095237</v>
      </c>
      <c r="AP522" s="1044">
        <v>449</v>
      </c>
      <c r="AQ522" s="76">
        <f t="shared" si="743"/>
        <v>26431.931250000001</v>
      </c>
      <c r="AR522" s="76">
        <f t="shared" si="800"/>
        <v>844.85625000000073</v>
      </c>
      <c r="AS522" s="230">
        <f t="shared" si="801"/>
        <v>35.202343750000033</v>
      </c>
      <c r="AT522" s="208">
        <f t="shared" ref="AT522:AT524" si="806">AR522/(AVERAGE(AN522,AN523)*(AVERAGE(D$512,D$507,D$486,D$505,D$493,D$494,D$498,D$465,D$470,D$521))*AVERAGE(E$512,E$507,E$486,E$505,E$493,E$494,E$498,E$465,E$470,E$521)*0.0001)</f>
        <v>697.52980036509007</v>
      </c>
      <c r="AU522" s="208"/>
      <c r="AV522" s="230">
        <f t="shared" ref="AV522:AV524" si="807">AR522/(AVERAGE(AN523,AN522)*AVERAGE(D$512,D$507,D$486,D$505,D$493,D$494,D$498,D$465,D$470,D$521)*0.01)</f>
        <v>549.21892499318108</v>
      </c>
      <c r="AW522" s="855">
        <f t="shared" si="782"/>
        <v>0.59791666666666721</v>
      </c>
      <c r="AX522" s="1044"/>
      <c r="AY522" s="1044"/>
      <c r="AZ522" s="1044"/>
      <c r="BA522" s="1044"/>
      <c r="BB522" s="1044"/>
      <c r="BC522" s="1044"/>
      <c r="BD522" s="1044"/>
      <c r="BE522" s="1044"/>
      <c r="BF522" s="1044"/>
      <c r="BG522" s="1044"/>
      <c r="BH522" s="1044"/>
      <c r="BI522" s="1044"/>
      <c r="BJ522" s="1044"/>
      <c r="BK522" s="1044"/>
      <c r="BL522" s="1044"/>
      <c r="BM522" s="1044"/>
      <c r="BN522" s="1044"/>
      <c r="BO522" s="1044"/>
      <c r="BP522" s="1044"/>
      <c r="BQ522" s="1044"/>
      <c r="BR522" s="1044"/>
      <c r="BS522" s="1044"/>
      <c r="BT522" s="1044"/>
      <c r="BU522" s="1044"/>
      <c r="BV522" s="1044"/>
      <c r="BW522" s="1044">
        <v>50.5</v>
      </c>
      <c r="BX522" s="1044">
        <v>543</v>
      </c>
      <c r="BY522" s="1054">
        <f t="shared" si="802"/>
        <v>32</v>
      </c>
      <c r="BZ522" s="1054">
        <f t="shared" si="803"/>
        <v>23.3125</v>
      </c>
      <c r="CA522" s="1044">
        <v>259</v>
      </c>
      <c r="CB522" s="1047">
        <f t="shared" si="744"/>
        <v>15332.03125</v>
      </c>
      <c r="CC522" s="208">
        <f t="shared" si="804"/>
        <v>551.953125</v>
      </c>
      <c r="CD522" s="208">
        <f t="shared" si="805"/>
        <v>22.998046875</v>
      </c>
      <c r="CE522" s="230">
        <f t="shared" ref="CE522:CE524" si="808">CC522/(AVERAGE(BY523,BY522)*(AVERAGE(D$512,D$507,D$486,D$505,D$493,D$494,D$498,D$465,D$470,D$521))*AVERAGE(E$512,E$507,E$486,E$505,E$493,E$494,E$498,E$465,E$470,E$521)*0.0001)</f>
        <v>861.2791742312844</v>
      </c>
      <c r="CF522" s="208"/>
      <c r="CG522" s="208">
        <f>CC522/(AVERAGE(BY522,BY523)*AVERAGE((D$512,D$507,D$486,D$505,D$493,D$494,D$498,D$465,D$470,D$521))*0.01)</f>
        <v>678.15141653121384</v>
      </c>
      <c r="CH522" s="855">
        <f t="shared" si="787"/>
        <v>0.73988354557640745</v>
      </c>
      <c r="CI522" s="1044"/>
      <c r="CJ522" s="1044"/>
      <c r="CK522" s="1044"/>
      <c r="CL522" s="1044"/>
      <c r="CM522" s="1044"/>
      <c r="CN522" s="1044"/>
    </row>
    <row r="523" spans="1:92">
      <c r="A523" s="1034">
        <f t="shared" si="716"/>
        <v>41678</v>
      </c>
      <c r="B523" s="1035">
        <f t="shared" si="791"/>
        <v>0.33333333333333398</v>
      </c>
      <c r="C523" s="854">
        <f t="shared" si="742"/>
        <v>24</v>
      </c>
      <c r="D523" s="1044"/>
      <c r="E523" s="1044"/>
      <c r="F523" s="1044"/>
      <c r="G523" s="1044"/>
      <c r="H523" s="1044"/>
      <c r="I523" s="1044"/>
      <c r="J523" s="1044"/>
      <c r="K523" s="1044"/>
      <c r="L523" s="1044"/>
      <c r="M523" s="1044"/>
      <c r="N523" s="1044"/>
      <c r="O523" s="1044"/>
      <c r="P523" s="1044"/>
      <c r="Q523" s="1044"/>
      <c r="R523" s="1044"/>
      <c r="S523" s="1044"/>
      <c r="T523" s="1044"/>
      <c r="U523" s="1044"/>
      <c r="V523" s="1044"/>
      <c r="W523" s="1044"/>
      <c r="X523" s="1044"/>
      <c r="Y523" s="1044"/>
      <c r="Z523" s="1044"/>
      <c r="AA523" s="1044"/>
      <c r="AB523" s="1044"/>
      <c r="AC523" s="1044"/>
      <c r="AD523" s="1044"/>
      <c r="AE523" s="1044"/>
      <c r="AF523" s="1044"/>
      <c r="AG523" s="1044"/>
      <c r="AH523" s="1044"/>
      <c r="AI523" s="1044"/>
      <c r="AJ523" s="1044"/>
      <c r="AK523" s="1044"/>
      <c r="AL523" s="1044">
        <v>35.4</v>
      </c>
      <c r="AM523" s="1044">
        <v>871</v>
      </c>
      <c r="AN523" s="208">
        <f t="shared" si="798"/>
        <v>60.480000000000004</v>
      </c>
      <c r="AO523" s="208">
        <f t="shared" si="799"/>
        <v>23.363095238095237</v>
      </c>
      <c r="AP523" s="1044">
        <v>461</v>
      </c>
      <c r="AQ523" s="76">
        <f t="shared" si="743"/>
        <v>27156.093750000004</v>
      </c>
      <c r="AR523" s="76">
        <f t="shared" si="800"/>
        <v>724.16250000000218</v>
      </c>
      <c r="AS523" s="230">
        <f t="shared" si="801"/>
        <v>30.173437500000091</v>
      </c>
      <c r="AT523" s="208">
        <f t="shared" si="806"/>
        <v>797.17691470296188</v>
      </c>
      <c r="AU523" s="208"/>
      <c r="AV523" s="230">
        <f t="shared" si="807"/>
        <v>627.67877142077964</v>
      </c>
      <c r="AW523" s="855">
        <f t="shared" si="782"/>
        <v>0.51250000000000151</v>
      </c>
      <c r="AX523" s="1044"/>
      <c r="AY523" s="1044"/>
      <c r="AZ523" s="1044"/>
      <c r="BA523" s="1044"/>
      <c r="BB523" s="1044"/>
      <c r="BC523" s="1044"/>
      <c r="BD523" s="1044"/>
      <c r="BE523" s="1044"/>
      <c r="BF523" s="1044"/>
      <c r="BG523" s="1044"/>
      <c r="BH523" s="1044"/>
      <c r="BI523" s="1044"/>
      <c r="BJ523" s="1044"/>
      <c r="BK523" s="1044"/>
      <c r="BL523" s="1044"/>
      <c r="BM523" s="1044"/>
      <c r="BN523" s="1044"/>
      <c r="BO523" s="1044"/>
      <c r="BP523" s="1044"/>
      <c r="BQ523" s="1044"/>
      <c r="BR523" s="1044"/>
      <c r="BS523" s="1044"/>
      <c r="BT523" s="1044"/>
      <c r="BU523" s="1044"/>
      <c r="BV523" s="1044"/>
      <c r="BW523" s="1044">
        <v>50.5</v>
      </c>
      <c r="BX523" s="1044">
        <v>559</v>
      </c>
      <c r="BY523" s="1054">
        <f t="shared" si="802"/>
        <v>32</v>
      </c>
      <c r="BZ523" s="1054">
        <f t="shared" si="803"/>
        <v>23.3125</v>
      </c>
      <c r="CA523" s="1044">
        <v>266</v>
      </c>
      <c r="CB523" s="1047">
        <f t="shared" si="744"/>
        <v>15761.328125</v>
      </c>
      <c r="CC523" s="208">
        <f t="shared" si="804"/>
        <v>429.296875</v>
      </c>
      <c r="CD523" s="208">
        <f t="shared" si="805"/>
        <v>17.887369791666668</v>
      </c>
      <c r="CE523" s="230">
        <f t="shared" si="808"/>
        <v>669.88380217988788</v>
      </c>
      <c r="CF523" s="208"/>
      <c r="CG523" s="208">
        <f>CC523/(AVERAGE(BY523,BY524)*AVERAGE((D$512,D$507,D$486,D$505,D$493,D$494,D$498,D$465,D$470,D$521))*0.01)</f>
        <v>527.45110174649972</v>
      </c>
      <c r="CH523" s="855">
        <f t="shared" si="787"/>
        <v>0.57546497989276135</v>
      </c>
      <c r="CI523" s="1044"/>
      <c r="CJ523" s="1044"/>
      <c r="CK523" s="1044"/>
      <c r="CL523" s="1044"/>
      <c r="CM523" s="1044"/>
      <c r="CN523" s="1044"/>
    </row>
    <row r="524" spans="1:92" ht="15" customHeight="1">
      <c r="A524" s="1034">
        <f t="shared" si="716"/>
        <v>41679</v>
      </c>
      <c r="B524" s="1035">
        <f t="shared" si="791"/>
        <v>0.33333333333333398</v>
      </c>
      <c r="C524" s="854">
        <f t="shared" si="742"/>
        <v>24</v>
      </c>
      <c r="D524" s="1044"/>
      <c r="E524" s="1044"/>
      <c r="F524" s="1044"/>
      <c r="G524" s="1044"/>
      <c r="H524" s="1044"/>
      <c r="I524" s="1044"/>
      <c r="J524" s="1044"/>
      <c r="K524" s="1044"/>
      <c r="L524" s="1044"/>
      <c r="M524" s="1044"/>
      <c r="N524" s="1044"/>
      <c r="O524" s="1044"/>
      <c r="P524" s="1044"/>
      <c r="Q524" s="1044"/>
      <c r="R524" s="1044"/>
      <c r="S524" s="1044"/>
      <c r="T524" s="1044"/>
      <c r="U524" s="1044"/>
      <c r="V524" s="1044"/>
      <c r="W524" s="1044"/>
      <c r="X524" s="1044"/>
      <c r="Y524" s="1044"/>
      <c r="Z524" s="1044"/>
      <c r="AA524" s="1044"/>
      <c r="AB524" s="1044"/>
      <c r="AC524" s="1044"/>
      <c r="AD524" s="1044"/>
      <c r="AE524" s="1044"/>
      <c r="AF524" s="1044"/>
      <c r="AG524" s="1044"/>
      <c r="AH524" s="1044"/>
      <c r="AI524" s="1044"/>
      <c r="AJ524" s="1044"/>
      <c r="AK524" s="1044"/>
      <c r="AL524" s="1044">
        <v>35.700000000000003</v>
      </c>
      <c r="AM524" s="1044">
        <v>885</v>
      </c>
      <c r="AN524" s="208">
        <f t="shared" si="798"/>
        <v>30.240000000000002</v>
      </c>
      <c r="AO524" s="208">
        <f t="shared" si="799"/>
        <v>46.726190476190474</v>
      </c>
      <c r="AP524" s="1044">
        <v>473</v>
      </c>
      <c r="AQ524" s="76">
        <f t="shared" si="743"/>
        <v>27880.256250000002</v>
      </c>
      <c r="AR524" s="76">
        <f t="shared" si="800"/>
        <v>724.16249999999854</v>
      </c>
      <c r="AS524" s="230">
        <f t="shared" si="801"/>
        <v>30.173437499999938</v>
      </c>
      <c r="AT524" s="208">
        <f t="shared" si="806"/>
        <v>1195.7653720544367</v>
      </c>
      <c r="AU524" s="208"/>
      <c r="AV524" s="230">
        <f t="shared" si="807"/>
        <v>941.5181571311648</v>
      </c>
      <c r="AW524" s="855">
        <f t="shared" si="782"/>
        <v>0.51249999999999896</v>
      </c>
      <c r="AX524" s="1044"/>
      <c r="AY524" s="1044"/>
      <c r="AZ524" s="1044"/>
      <c r="BA524" s="1044"/>
      <c r="BB524" s="1044"/>
      <c r="BC524" s="1044"/>
      <c r="BD524" s="1044"/>
      <c r="BE524" s="1044"/>
      <c r="BF524" s="1044"/>
      <c r="BG524" s="1044"/>
      <c r="BH524" s="1044"/>
      <c r="BI524" s="1044"/>
      <c r="BJ524" s="1044"/>
      <c r="BK524" s="1044"/>
      <c r="BL524" s="1044"/>
      <c r="BM524" s="1044"/>
      <c r="BN524" s="1044"/>
      <c r="BO524" s="1044"/>
      <c r="BP524" s="1044"/>
      <c r="BQ524" s="1044"/>
      <c r="BR524" s="1044"/>
      <c r="BS524" s="1044"/>
      <c r="BT524" s="1044"/>
      <c r="BU524" s="1044"/>
      <c r="BV524" s="1044"/>
      <c r="BW524" s="1044">
        <v>50.6</v>
      </c>
      <c r="BX524" s="1044">
        <v>575</v>
      </c>
      <c r="BY524" s="1054">
        <f t="shared" si="802"/>
        <v>32</v>
      </c>
      <c r="BZ524" s="1054">
        <f t="shared" si="803"/>
        <v>23.3125</v>
      </c>
      <c r="CA524" s="1044">
        <v>273</v>
      </c>
      <c r="CB524" s="1047">
        <f t="shared" si="744"/>
        <v>16190.625</v>
      </c>
      <c r="CC524" s="208">
        <f t="shared" si="804"/>
        <v>429.296875</v>
      </c>
      <c r="CD524" s="208">
        <f t="shared" si="805"/>
        <v>17.887369791666668</v>
      </c>
      <c r="CE524" s="230">
        <f t="shared" si="808"/>
        <v>669.88380217988788</v>
      </c>
      <c r="CF524" s="208"/>
      <c r="CG524" s="208">
        <f>CC524/(AVERAGE(BY524,BY525)*AVERAGE((D$512,D$507,D$486,D$505,D$493,D$494,D$498,D$465,D$470,D$521))*0.01)</f>
        <v>527.45110174649972</v>
      </c>
      <c r="CH524" s="855">
        <f t="shared" si="787"/>
        <v>0.57546497989276135</v>
      </c>
      <c r="CI524" s="1044"/>
      <c r="CJ524" s="1044"/>
      <c r="CK524" s="1044"/>
      <c r="CL524" s="1044"/>
      <c r="CM524" s="1044"/>
      <c r="CN524" s="1044"/>
    </row>
    <row r="525" spans="1:92" s="337" customFormat="1">
      <c r="A525" s="1036">
        <f t="shared" si="716"/>
        <v>41680</v>
      </c>
      <c r="B525" s="1037">
        <f t="shared" si="791"/>
        <v>0.33333333333333398</v>
      </c>
      <c r="C525" s="847">
        <f t="shared" si="742"/>
        <v>24</v>
      </c>
      <c r="D525" s="1023">
        <v>2.8</v>
      </c>
      <c r="E525" s="1023">
        <v>80.7</v>
      </c>
      <c r="F525" s="1023">
        <v>41500</v>
      </c>
      <c r="G525" s="1023"/>
      <c r="H525" s="1023">
        <v>42</v>
      </c>
      <c r="I525" s="1023">
        <v>3914</v>
      </c>
      <c r="J525" s="1023">
        <v>1907</v>
      </c>
      <c r="K525" s="1023">
        <v>39.200000000000003</v>
      </c>
      <c r="L525" s="1023">
        <v>171</v>
      </c>
      <c r="M525" s="1023"/>
      <c r="N525" s="1023"/>
      <c r="O525" s="1023"/>
      <c r="P525" s="1023"/>
      <c r="Q525" s="1023"/>
      <c r="R525" s="1023"/>
      <c r="S525" s="1023"/>
      <c r="T525" s="1023"/>
      <c r="U525" s="1023"/>
      <c r="V525" s="1023">
        <v>1.6</v>
      </c>
      <c r="W525" s="1023">
        <v>65</v>
      </c>
      <c r="X525" s="1023">
        <v>17700</v>
      </c>
      <c r="Y525" s="1023">
        <v>34.4</v>
      </c>
      <c r="Z525" s="1023">
        <v>777</v>
      </c>
      <c r="AA525" s="1023">
        <v>175</v>
      </c>
      <c r="AB525" s="1023">
        <v>50.6</v>
      </c>
      <c r="AC525" s="1023">
        <v>198</v>
      </c>
      <c r="AD525" s="1021">
        <f>D521*(100-E521)/(100-W525)</f>
        <v>2.0197708497092641</v>
      </c>
      <c r="AE525" s="1055">
        <f>D521-V525</f>
        <v>1.1183616951499498</v>
      </c>
      <c r="AF525" s="847">
        <f>100*(AVERAGE(D$512,D$507,D$486,D$505,D$493,D$494,D$498,D$525,D$470,D$521)-V525)/AVERAGE(D$512,D$507,D$486,D$505,D$493,D$494,D$498,D$525,D$470,D$521)</f>
        <v>37.340014045492453</v>
      </c>
      <c r="AG525" s="847">
        <f>100*(1-((100-AVERAGE(E$512,E$507,E$486,E$505,E$493,E$494,E$498,E$525,E$470,E$521))/(100-W525)))</f>
        <v>39.907715666553379</v>
      </c>
      <c r="AH525" s="1055">
        <f>E521-W525</f>
        <v>8.9946380697051609</v>
      </c>
      <c r="AI525" s="847">
        <f>100*(1-((V525*W525)/(AVERAGE(D$512,D$507,D$486,D$505,D$493,D$494,D$498,D$525,D$470,D$521)*AVERAGE(E$512,E$507,E$486,E$505,E$493,E$494,E$498,E$525,E$470,E$521))))</f>
        <v>48.423227951222302</v>
      </c>
      <c r="AJ525" s="847">
        <f>100*100*((AVERAGE(E$512,E$507,E$486,E$505,E$493,E$494,E$498,E$525,E$470,E$521)-W525)/((100-W525)*AVERAGE(E$512,E$507,E$486,E$505,E$493,E$494,E$498,E$525,E$470,E$521)))</f>
        <v>50.536757968526913</v>
      </c>
      <c r="AK525" s="1023"/>
      <c r="AL525" s="1023">
        <v>35.700000000000003</v>
      </c>
      <c r="AM525" s="1023">
        <v>899</v>
      </c>
      <c r="AN525" s="334">
        <f t="shared" si="798"/>
        <v>30.240000000000002</v>
      </c>
      <c r="AO525" s="334">
        <f t="shared" si="799"/>
        <v>46.726190476190474</v>
      </c>
      <c r="AP525" s="1023">
        <v>487</v>
      </c>
      <c r="AQ525" s="348">
        <f t="shared" si="743"/>
        <v>28725.112500000003</v>
      </c>
      <c r="AR525" s="348">
        <f t="shared" si="800"/>
        <v>844.85625000000073</v>
      </c>
      <c r="AS525" s="512">
        <f t="shared" si="801"/>
        <v>35.202343750000033</v>
      </c>
      <c r="AT525" s="334">
        <f>AR525/(AVERAGE(AN525,AN526)*(AVERAGE(D$512,D$507,D$486,D$505,D$493,D$494,D$498,D$525,D$470,D$521))*AVERAGE(E$512,E$507,E$486,E$505,E$493,E$494,E$498,E$525,E$470,E$521)*0.0001)</f>
        <v>554.21955408317012</v>
      </c>
      <c r="AU525" s="334">
        <f>(AQ525-AQ519)/(AVERAGE(AN519:AN525)*((AVERAGE(D$512,D$507,D$486,D$505,D$493,D$494,D$498,D$525,D$470,D$521)*AVERAGE(E$512,E$507,E$486,E$505,E$493,E$494,E$498,E$525,E$470,E$521))-(V525*W525))*0.0001*(SUM(C519:C525)/24))</f>
        <v>1430.6655543529805</v>
      </c>
      <c r="AV525" s="512">
        <f>AR525/(AVERAGE(AN526,AN525)*AVERAGE(D$512,D$507,D$486,D$505,D$493,D$494,D$498,D$525,D$470,D$521)*0.01)</f>
        <v>437.65443748824362</v>
      </c>
      <c r="AW525" s="848">
        <f t="shared" si="782"/>
        <v>0.59791666666666721</v>
      </c>
      <c r="AX525" s="1023"/>
      <c r="AY525" s="1023"/>
      <c r="AZ525" s="1023"/>
      <c r="BA525" s="1023"/>
      <c r="BB525" s="1023"/>
      <c r="BC525" s="1023"/>
      <c r="BD525" s="1023"/>
      <c r="BE525" s="1023"/>
      <c r="BF525" s="1023"/>
      <c r="BG525" s="1023">
        <v>1.7</v>
      </c>
      <c r="BH525" s="1023">
        <v>64.400000000000006</v>
      </c>
      <c r="BI525" s="1023">
        <v>17600</v>
      </c>
      <c r="BJ525" s="1023">
        <v>35.4</v>
      </c>
      <c r="BK525" s="1023">
        <v>1815</v>
      </c>
      <c r="BL525" s="1023">
        <v>375</v>
      </c>
      <c r="BM525" s="1023">
        <v>62.4</v>
      </c>
      <c r="BN525" s="1023">
        <v>104</v>
      </c>
      <c r="BO525" s="847">
        <f>D521*(100-E521)/(100-BH525)</f>
        <v>1.9857297679725916</v>
      </c>
      <c r="BP525" s="1055">
        <f>D521-BG525</f>
        <v>1.0183616951499499</v>
      </c>
      <c r="BQ525" s="1056">
        <f>100*(AVERAGE(D$512,D$507,D$486,D$505,D$493,D$494,D$498,D$525,D$470,D$521)-BG525)/AVERAGE(D$512,D$507,D$486,D$505,D$493,D$494,D$498,D$525,D$470,D$521)</f>
        <v>33.423764923335732</v>
      </c>
      <c r="BR525" s="1056">
        <f>100*(1-((100-AVERAGE(E$512,E$507,E$486,E$505,E$493,E$494,E$498,E$525,E$470,E$521))/(100-BH525)))</f>
        <v>40.920506975544043</v>
      </c>
      <c r="BS525" s="1055">
        <f>E521-BH525</f>
        <v>9.5946380697051552</v>
      </c>
      <c r="BT525" s="1055">
        <f>100*(1-((BG525*BH525)/(AVERAGE(D$512,D$507,D$486,D$505,D$493,D$494,D$498,D$525,D$470,D$521)*AVERAGE(E$512,E$507,E$486,E$505,E$493,E$494,E$498,E$525,E$470,E$521))))</f>
        <v>45.705528808652097</v>
      </c>
      <c r="BU525" s="847">
        <f>100*100*((AVERAGE(E$512,E$507,E$486,E$505,E$493,E$494,E$498,E$525,E$470,E$521)-BH525)/((100-BH525)*AVERAGE(E$512,E$507,E$486,E$505,E$493,E$494,E$498,E$525,E$470,E$521)))</f>
        <v>51.819296655600525</v>
      </c>
      <c r="BV525" s="1023"/>
      <c r="BW525" s="1023">
        <v>50.7</v>
      </c>
      <c r="BX525" s="1023">
        <v>591</v>
      </c>
      <c r="BY525" s="1056">
        <f t="shared" si="802"/>
        <v>32</v>
      </c>
      <c r="BZ525" s="1056">
        <f t="shared" si="803"/>
        <v>23.3125</v>
      </c>
      <c r="CA525" s="1023">
        <v>282</v>
      </c>
      <c r="CB525" s="1057">
        <f t="shared" si="744"/>
        <v>16742.578125</v>
      </c>
      <c r="CC525" s="334">
        <f t="shared" si="804"/>
        <v>551.953125</v>
      </c>
      <c r="CD525" s="334">
        <f t="shared" si="805"/>
        <v>22.998046875</v>
      </c>
      <c r="CE525" s="512">
        <f>CC525/(AVERAGE(BY526,BY525)*(AVERAGE(D$512,D$507,D$486,D$505,D$493,D$494,D$498,D$525,D$470,D$521))*AVERAGE(E$512,E$507,E$486,E$505,E$493,E$494,E$498,E$525,E$470,E$521)*0.0001)</f>
        <v>855.40746723964844</v>
      </c>
      <c r="CF525" s="334">
        <f>(CB525-CB519)/(AVERAGE(BY519:BY525)*((AVERAGE(D$512,D$507,D$486,D$505,D$493,D$494,D$498,D$525,D$470,D$521)*AVERAGE(E$512,E$507,E$486,E$505,E$493,E$494,E$498,E$525,E$470,E$521))-(BG525*BH525))*0.0001*(SUM(C519:C525)/24))</f>
        <v>1455.6596024729199</v>
      </c>
      <c r="CG525" s="334">
        <f>CC525/(AVERAGE(BY525,BY526)*AVERAGE((D$512,D$507,D$486,D$505,D$493,D$494,D$498,D$525,D$470,D$521))*0.01)</f>
        <v>675.4956066415341</v>
      </c>
      <c r="CH525" s="848">
        <f t="shared" si="787"/>
        <v>0.73988354557640745</v>
      </c>
      <c r="CI525" s="1023"/>
      <c r="CJ525" s="1023"/>
      <c r="CK525" s="1023"/>
      <c r="CL525" s="1023"/>
      <c r="CM525" s="1023"/>
      <c r="CN525" s="1023"/>
    </row>
    <row r="526" spans="1:92">
      <c r="A526" s="1034">
        <f t="shared" si="716"/>
        <v>41681</v>
      </c>
      <c r="B526" s="1035">
        <f t="shared" si="791"/>
        <v>0.33333333333333398</v>
      </c>
      <c r="C526" s="854">
        <f t="shared" si="742"/>
        <v>24</v>
      </c>
      <c r="D526" s="1044"/>
      <c r="E526" s="1044"/>
      <c r="F526" s="1044"/>
      <c r="G526" s="1044"/>
      <c r="H526" s="1044"/>
      <c r="I526" s="1044"/>
      <c r="J526" s="1044"/>
      <c r="K526" s="1044"/>
      <c r="L526" s="1044"/>
      <c r="M526" s="1044"/>
      <c r="N526" s="1044"/>
      <c r="O526" s="1044"/>
      <c r="P526" s="1044"/>
      <c r="Q526" s="1044"/>
      <c r="R526" s="1044"/>
      <c r="S526" s="1044"/>
      <c r="T526" s="1044"/>
      <c r="U526" s="1044"/>
      <c r="V526" s="1044"/>
      <c r="W526" s="1044"/>
      <c r="X526" s="1044"/>
      <c r="Y526" s="1044"/>
      <c r="Z526" s="1044"/>
      <c r="AA526" s="1044"/>
      <c r="AB526" s="1044"/>
      <c r="AC526" s="1044"/>
      <c r="AD526" s="1044"/>
      <c r="AE526" s="1044"/>
      <c r="AF526" s="1044"/>
      <c r="AG526" s="1044"/>
      <c r="AH526" s="1044"/>
      <c r="AI526" s="1044"/>
      <c r="AJ526" s="1044"/>
      <c r="AK526" s="1044"/>
      <c r="AL526" s="1044">
        <v>35.6</v>
      </c>
      <c r="AM526" s="1044">
        <v>955</v>
      </c>
      <c r="AN526" s="208">
        <f t="shared" si="798"/>
        <v>120.96000000000001</v>
      </c>
      <c r="AO526" s="208">
        <f t="shared" si="799"/>
        <v>11.681547619047619</v>
      </c>
      <c r="AP526" s="1044">
        <v>506</v>
      </c>
      <c r="AQ526" s="76">
        <f t="shared" si="743"/>
        <v>29871.703125000004</v>
      </c>
      <c r="AR526" s="76">
        <f t="shared" si="800"/>
        <v>1146.5906250000007</v>
      </c>
      <c r="AS526" s="230">
        <f t="shared" si="801"/>
        <v>47.774609375000033</v>
      </c>
      <c r="AT526" s="208">
        <f t="shared" ref="AT526:AT527" si="809">AR526/(AVERAGE(AN526,AN527)*(AVERAGE(D$512,D$507,D$486,D$505,D$493,D$494,D$498,D$525,D$470,D$521))*AVERAGE(E$512,E$507,E$486,E$505,E$493,E$494,E$498,E$525,E$470,E$521)*0.0001)</f>
        <v>626.79592426072816</v>
      </c>
      <c r="AU526" s="1044"/>
      <c r="AV526" s="230">
        <f t="shared" ref="AV526:AV527" si="810">AR526/(AVERAGE(AN527,AN526)*AVERAGE(D$512,D$507,D$486,D$505,D$493,D$494,D$498,D$525,D$470,D$521)*0.01)</f>
        <v>494.96632811170406</v>
      </c>
      <c r="AW526" s="855">
        <f t="shared" si="782"/>
        <v>0.81145833333333384</v>
      </c>
      <c r="AX526" s="1044"/>
      <c r="AY526" s="1044"/>
      <c r="AZ526" s="1044"/>
      <c r="BA526" s="1044"/>
      <c r="BB526" s="1044"/>
      <c r="BC526" s="1044"/>
      <c r="BD526" s="1044"/>
      <c r="BE526" s="1044"/>
      <c r="BF526" s="1044"/>
      <c r="BG526" s="1044"/>
      <c r="BH526" s="1044"/>
      <c r="BI526" s="1044"/>
      <c r="BJ526" s="1044"/>
      <c r="BK526" s="1044"/>
      <c r="BL526" s="1044"/>
      <c r="BM526" s="1044"/>
      <c r="BN526" s="1044"/>
      <c r="BO526" s="1044"/>
      <c r="BP526" s="1044"/>
      <c r="BQ526" s="1044"/>
      <c r="BR526" s="1044"/>
      <c r="BS526" s="1044"/>
      <c r="BT526" s="1044"/>
      <c r="BU526" s="1044"/>
      <c r="BV526" s="1044"/>
      <c r="BW526" s="1044">
        <v>50.6</v>
      </c>
      <c r="BX526" s="1044">
        <v>607</v>
      </c>
      <c r="BY526" s="1054">
        <f t="shared" si="802"/>
        <v>32</v>
      </c>
      <c r="BZ526" s="1054">
        <f t="shared" si="803"/>
        <v>23.3125</v>
      </c>
      <c r="CA526" s="1044">
        <v>291</v>
      </c>
      <c r="CB526" s="1047">
        <f t="shared" si="744"/>
        <v>17294.53125</v>
      </c>
      <c r="CC526" s="208">
        <f t="shared" si="804"/>
        <v>551.953125</v>
      </c>
      <c r="CD526" s="208">
        <f t="shared" si="805"/>
        <v>22.998046875</v>
      </c>
      <c r="CE526" s="230">
        <f t="shared" ref="CE526:CE527" si="811">CC526/(AVERAGE(BY527,BY526)*(AVERAGE(D$512,D$507,D$486,D$505,D$493,D$494,D$498,D$525,D$470,D$521))*AVERAGE(E$512,E$507,E$486,E$505,E$493,E$494,E$498,E$525,E$470,E$521)*0.0001)</f>
        <v>855.40746723964844</v>
      </c>
      <c r="CF526" s="1044"/>
      <c r="CG526" s="208">
        <f>CC526/(AVERAGE(BY526,BY527)*AVERAGE((D$512,D$507,D$486,D$505,D$493,D$494,D$498,D$525,D$470,D$521))*0.01)</f>
        <v>675.4956066415341</v>
      </c>
      <c r="CH526" s="855">
        <f t="shared" si="787"/>
        <v>0.73988354557640745</v>
      </c>
      <c r="CI526" s="1044"/>
      <c r="CJ526" s="1044"/>
      <c r="CK526" s="1044"/>
      <c r="CL526" s="1044"/>
      <c r="CM526" s="1044"/>
      <c r="CN526" s="1044"/>
    </row>
    <row r="527" spans="1:92">
      <c r="A527" s="1034">
        <f t="shared" si="716"/>
        <v>41682</v>
      </c>
      <c r="B527" s="1035">
        <f t="shared" si="791"/>
        <v>0.33333333333333398</v>
      </c>
      <c r="C527" s="854">
        <f t="shared" si="742"/>
        <v>24</v>
      </c>
      <c r="D527" s="1044"/>
      <c r="E527" s="1044"/>
      <c r="F527" s="1044"/>
      <c r="G527" s="1044"/>
      <c r="H527" s="1044"/>
      <c r="I527" s="1044"/>
      <c r="J527" s="1044"/>
      <c r="K527" s="1044"/>
      <c r="L527" s="1044"/>
      <c r="M527" s="1044"/>
      <c r="N527" s="1044"/>
      <c r="O527" s="1044"/>
      <c r="P527" s="1044"/>
      <c r="Q527" s="1044"/>
      <c r="R527" s="1044"/>
      <c r="S527" s="1044"/>
      <c r="T527" s="1044"/>
      <c r="U527" s="1044"/>
      <c r="V527" s="1044"/>
      <c r="W527" s="1044"/>
      <c r="X527" s="1044"/>
      <c r="Y527" s="1044"/>
      <c r="Z527" s="1044"/>
      <c r="AA527" s="1044"/>
      <c r="AB527" s="1044"/>
      <c r="AC527" s="1044"/>
      <c r="AD527" s="1044"/>
      <c r="AE527" s="1044"/>
      <c r="AF527" s="1044"/>
      <c r="AG527" s="1044"/>
      <c r="AH527" s="1044"/>
      <c r="AI527" s="1044"/>
      <c r="AJ527" s="1044"/>
      <c r="AK527" s="1044"/>
      <c r="AL527" s="1044">
        <v>35.6</v>
      </c>
      <c r="AM527" s="1044">
        <v>983</v>
      </c>
      <c r="AN527" s="208">
        <f t="shared" si="798"/>
        <v>60.480000000000004</v>
      </c>
      <c r="AO527" s="208">
        <f t="shared" si="799"/>
        <v>23.363095238095237</v>
      </c>
      <c r="AP527" s="1044">
        <v>522</v>
      </c>
      <c r="AQ527" s="76">
        <f t="shared" si="743"/>
        <v>30837.253125000003</v>
      </c>
      <c r="AR527" s="76">
        <f t="shared" si="800"/>
        <v>965.54999999999927</v>
      </c>
      <c r="AS527" s="230">
        <f t="shared" si="801"/>
        <v>40.231249999999967</v>
      </c>
      <c r="AT527" s="208">
        <f t="shared" si="809"/>
        <v>791.74222011881307</v>
      </c>
      <c r="AU527" s="1044"/>
      <c r="AV527" s="230">
        <f t="shared" si="810"/>
        <v>625.22062498320417</v>
      </c>
      <c r="AW527" s="855">
        <f t="shared" si="782"/>
        <v>0.68333333333333279</v>
      </c>
      <c r="AX527" s="1044"/>
      <c r="AY527" s="1044"/>
      <c r="AZ527" s="1044"/>
      <c r="BA527" s="1044"/>
      <c r="BB527" s="1044"/>
      <c r="BC527" s="1044"/>
      <c r="BD527" s="1044"/>
      <c r="BE527" s="1044"/>
      <c r="BF527" s="1044"/>
      <c r="BG527" s="1044"/>
      <c r="BH527" s="1044"/>
      <c r="BI527" s="1044"/>
      <c r="BJ527" s="1044"/>
      <c r="BK527" s="1044"/>
      <c r="BL527" s="1044"/>
      <c r="BM527" s="1044"/>
      <c r="BN527" s="1044"/>
      <c r="BO527" s="1044"/>
      <c r="BP527" s="1044"/>
      <c r="BQ527" s="1044"/>
      <c r="BR527" s="1044"/>
      <c r="BS527" s="1044"/>
      <c r="BT527" s="1044"/>
      <c r="BU527" s="1044"/>
      <c r="BV527" s="1044"/>
      <c r="BW527" s="1044">
        <v>50.6</v>
      </c>
      <c r="BX527" s="1044">
        <v>623</v>
      </c>
      <c r="BY527" s="1054">
        <f t="shared" si="802"/>
        <v>32</v>
      </c>
      <c r="BZ527" s="1054">
        <f t="shared" si="803"/>
        <v>23.3125</v>
      </c>
      <c r="CA527" s="1044">
        <v>300</v>
      </c>
      <c r="CB527" s="1047">
        <f t="shared" si="744"/>
        <v>17846.484375</v>
      </c>
      <c r="CC527" s="208">
        <f t="shared" si="804"/>
        <v>551.953125</v>
      </c>
      <c r="CD527" s="208">
        <f t="shared" si="805"/>
        <v>22.998046875</v>
      </c>
      <c r="CE527" s="230">
        <f t="shared" si="811"/>
        <v>855.40746723964844</v>
      </c>
      <c r="CF527" s="1044"/>
      <c r="CG527" s="208">
        <f>CC527/(AVERAGE(BY527,BY528)*AVERAGE((D$512,D$507,D$486,D$505,D$493,D$494,D$498,D$525,D$470,D$521))*0.01)</f>
        <v>675.4956066415341</v>
      </c>
      <c r="CH527" s="855">
        <f t="shared" si="787"/>
        <v>0.73988354557640745</v>
      </c>
      <c r="CI527" s="1044"/>
      <c r="CJ527" s="1044"/>
      <c r="CK527" s="1044"/>
      <c r="CL527" s="1044"/>
      <c r="CM527" s="1044"/>
      <c r="CN527" s="1044"/>
    </row>
    <row r="528" spans="1:92" s="337" customFormat="1">
      <c r="A528" s="1036">
        <f t="shared" si="716"/>
        <v>41683</v>
      </c>
      <c r="B528" s="1037">
        <f t="shared" si="791"/>
        <v>0.33333333333333398</v>
      </c>
      <c r="C528" s="847">
        <f t="shared" si="742"/>
        <v>24</v>
      </c>
      <c r="D528" s="1023">
        <v>2.8</v>
      </c>
      <c r="E528" s="1023">
        <v>75.599999999999994</v>
      </c>
      <c r="F528" s="1023">
        <v>38700</v>
      </c>
      <c r="G528" s="1023"/>
      <c r="H528" s="1023"/>
      <c r="I528" s="1023">
        <v>5654</v>
      </c>
      <c r="J528" s="1023"/>
      <c r="K528" s="1023"/>
      <c r="L528" s="1023"/>
      <c r="M528" s="1023"/>
      <c r="N528" s="1023"/>
      <c r="O528" s="1023"/>
      <c r="P528" s="1023"/>
      <c r="Q528" s="1023"/>
      <c r="R528" s="1023"/>
      <c r="S528" s="1023"/>
      <c r="T528" s="1023"/>
      <c r="U528" s="1023"/>
      <c r="V528" s="1023">
        <v>1.7</v>
      </c>
      <c r="W528" s="1023">
        <v>65.099999999999994</v>
      </c>
      <c r="X528" s="1023">
        <v>19900</v>
      </c>
      <c r="Y528" s="1023"/>
      <c r="Z528" s="1023">
        <v>1701</v>
      </c>
      <c r="AA528" s="1023"/>
      <c r="AB528" s="1023"/>
      <c r="AC528" s="1023"/>
      <c r="AD528" s="1021">
        <f>D525*(100-E525)/(100-W528)</f>
        <v>1.5484240687679078</v>
      </c>
      <c r="AE528" s="1055">
        <f>D525-V528</f>
        <v>1.0999999999999999</v>
      </c>
      <c r="AF528" s="847">
        <f>100*(AVERAGE(D$512,D$507,D$486,D$505,D$493,D$494,D$498,D$525,D$528,D$521)-V528)/AVERAGE(D$512,D$507,D$486,D$505,D$493,D$494,D$498,D$525,D$528,D$521)</f>
        <v>34.22233032086487</v>
      </c>
      <c r="AG528" s="847">
        <f>100*(1-((100-AVERAGE(E$512,E$507,E$486,E$505,E$493,E$494,E$498,E$525,E$528,E$521))/(100-W528)))</f>
        <v>39.219772158434651</v>
      </c>
      <c r="AH528" s="1055">
        <f>E525-W528</f>
        <v>15.600000000000009</v>
      </c>
      <c r="AI528" s="847">
        <f>100*(1-((V528*W528)/(AVERAGE(D$512,D$507,D$486,D$505,D$493,D$494,D$498,D$525,D$528,D$521)*AVERAGE(E$512,E$507,E$486,E$505,E$493,E$494,E$498,E$525,E$528,E$521))))</f>
        <v>45.649812472700766</v>
      </c>
      <c r="AJ528" s="847">
        <f>100*100*((AVERAGE(E$512,E$507,E$486,E$505,E$493,E$494,E$498,E$525,E$528,E$521)-W528)/((100-W528)*AVERAGE(E$512,E$507,E$486,E$505,E$493,E$494,E$498,E$525,E$528,E$521)))</f>
        <v>49.779054240516764</v>
      </c>
      <c r="AK528" s="1023"/>
      <c r="AL528" s="1023">
        <v>35.700000000000003</v>
      </c>
      <c r="AM528" s="1023">
        <v>1011</v>
      </c>
      <c r="AN528" s="334">
        <f t="shared" ref="AN528:AN532" si="812">(AM528-AM527)*AQ$1/((C527)/24)</f>
        <v>60.480000000000004</v>
      </c>
      <c r="AO528" s="334">
        <f t="shared" ref="AO528:AO532" si="813">AQ$3/AN528</f>
        <v>23.363095238095237</v>
      </c>
      <c r="AP528" s="1023">
        <v>537</v>
      </c>
      <c r="AQ528" s="1057">
        <f t="shared" si="743"/>
        <v>31742.456250000003</v>
      </c>
      <c r="AR528" s="348">
        <f t="shared" ref="AR528:AR532" si="814">(AQ528-AQ527)/(C528/24)</f>
        <v>905.203125</v>
      </c>
      <c r="AS528" s="512">
        <f t="shared" ref="AS528:AS532" si="815">(AQ528-AQ527)/C528</f>
        <v>37.716796875</v>
      </c>
      <c r="AT528" s="334">
        <f>AR528/(AVERAGE(AN528,AN529)*(AVERAGE(D$512,D$507,D$486,D$505,D$493,D$494,D$498,D$525,D$528,D$521))*AVERAGE(E$512,E$507,E$486,E$505,E$493,E$494,E$498,E$525,E$528,E$521)*0.0001)</f>
        <v>807.09238543106483</v>
      </c>
      <c r="AU528" s="334">
        <f>(AQ528-AQ522)/(AVERAGE(AN522:AN528)*((AVERAGE(D$512,D$507,D$486,D$505,D$493,D$494,D$498,D$525,D$528,D$521)*AVERAGE(E$512,E$507,E$486,E$505,E$493,E$494,E$498,E$525,E$528,E$521))-(V528*W528))*0.0001*(SUM(C522:C528)/24))</f>
        <v>1349.4592491558017</v>
      </c>
      <c r="AV528" s="512">
        <f>AR528/(AVERAGE(AN529,AN528)*AVERAGE(D$512,D$507,D$486,D$505,D$493,D$494,D$498,D$525,D$528,D$521)*0.01)</f>
        <v>635.88953125689761</v>
      </c>
      <c r="AW528" s="848">
        <f t="shared" si="782"/>
        <v>0.640625</v>
      </c>
      <c r="AX528" s="1023"/>
      <c r="AY528" s="1023"/>
      <c r="AZ528" s="1023"/>
      <c r="BA528" s="1023"/>
      <c r="BB528" s="1023"/>
      <c r="BC528" s="1023"/>
      <c r="BD528" s="1023"/>
      <c r="BE528" s="1023"/>
      <c r="BF528" s="1023"/>
      <c r="BG528" s="1023">
        <v>1.7</v>
      </c>
      <c r="BH528" s="1023">
        <v>64.5</v>
      </c>
      <c r="BI528" s="1023">
        <v>16900</v>
      </c>
      <c r="BJ528" s="1023"/>
      <c r="BK528" s="1023">
        <v>1929</v>
      </c>
      <c r="BL528" s="1023"/>
      <c r="BM528" s="1023"/>
      <c r="BN528" s="1023"/>
      <c r="BO528" s="847">
        <f>D525*(100-E525)/(100-BH528)</f>
        <v>1.5222535211267603</v>
      </c>
      <c r="BP528" s="1055">
        <f>D525-BG528</f>
        <v>1.0999999999999999</v>
      </c>
      <c r="BQ528" s="1056">
        <f>100*(AVERAGE(D$512,D$507,D$486,D$505,D$493,D$494,D$498,D$525,D$528,D$521)-BG528)/AVERAGE(D$512,D$507,D$486,D$505,D$493,D$494,D$498,D$525,D$528,D$521)</f>
        <v>34.22233032086487</v>
      </c>
      <c r="BR528" s="1056">
        <f>100*(1-((100-AVERAGE(E$512,E$507,E$486,E$505,E$493,E$494,E$498,E$525,E$528,E$521))/(100-BH528)))</f>
        <v>40.247043614911803</v>
      </c>
      <c r="BS528" s="1055">
        <f>E525-BH528</f>
        <v>16.200000000000003</v>
      </c>
      <c r="BT528" s="1055">
        <f>100*(1-((BG528*BH528)/(AVERAGE(D$512,D$507,D$486,D$505,D$493,D$494,D$498,D$525,D$528,D$521)*AVERAGE(E$512,E$507,E$486,E$505,E$493,E$494,E$498,E$525,E$528,E$521))))</f>
        <v>46.150735860049139</v>
      </c>
      <c r="BU528" s="847">
        <f>100*100*((AVERAGE(E$512,E$507,E$486,E$505,E$493,E$494,E$498,E$525,E$528,E$521)-BH528)/((100-BH528)*AVERAGE(E$512,E$507,E$486,E$505,E$493,E$494,E$498,E$525,E$528,E$521)))</f>
        <v>51.082901732162966</v>
      </c>
      <c r="BV528" s="1023"/>
      <c r="BW528" s="1023">
        <v>50.6</v>
      </c>
      <c r="BX528" s="1023">
        <v>639</v>
      </c>
      <c r="BY528" s="1056">
        <f t="shared" ref="BY528:BY532" si="816">(BX528-BX527)*CB$1/((C528)/24)</f>
        <v>32</v>
      </c>
      <c r="BZ528" s="1056">
        <f t="shared" ref="BZ528:BZ532" si="817">CB$3/BY528</f>
        <v>23.3125</v>
      </c>
      <c r="CA528" s="1023">
        <v>309</v>
      </c>
      <c r="CB528" s="1057">
        <f t="shared" si="744"/>
        <v>18398.4375</v>
      </c>
      <c r="CC528" s="334">
        <f t="shared" ref="CC528:CC532" si="818">(CB528-CB527)/((C528/24))</f>
        <v>551.953125</v>
      </c>
      <c r="CD528" s="334">
        <f t="shared" ref="CD528:CD532" si="819">(CB528-CB527)/(C528)</f>
        <v>22.998046875</v>
      </c>
      <c r="CE528" s="512">
        <f>CC528/(AVERAGE(BY529,BY528)*(AVERAGE(D$512,D$507,D$486,D$505,D$493,D$494,D$498,D$525,D$528,D$521))*AVERAGE(E$512,E$507,E$486,E$505,E$493,E$494,E$498,E$525,E$528,E$521)*0.0001)</f>
        <v>847.0779075751343</v>
      </c>
      <c r="CF528" s="334">
        <f>(CB528-CB522)/(AVERAGE(BY522:BY528)*((AVERAGE(D$512,D$507,D$486,D$505,D$493,D$494,D$498,D$525,D$528,D$521)*AVERAGE(E$512,E$507,E$486,E$505,E$493,E$494,E$498,E$525,E$528,E$521))-(BG528*BH528))*0.0001*(SUM(C522:C528)/24))</f>
        <v>1456.7136170260476</v>
      </c>
      <c r="CG528" s="334">
        <f>CC528/(AVERAGE(BY528,BY529)*AVERAGE((D$512,D$507,D$486,D$505,D$493,D$494,D$498,D$525,D$528,D$521))*0.01)</f>
        <v>667.39320468044821</v>
      </c>
      <c r="CH528" s="848">
        <f t="shared" si="787"/>
        <v>0.73988354557640745</v>
      </c>
      <c r="CI528" s="1023"/>
      <c r="CJ528" s="1023"/>
      <c r="CK528" s="1023"/>
      <c r="CL528" s="1023"/>
      <c r="CM528" s="1023"/>
      <c r="CN528" s="1023"/>
    </row>
    <row r="529" spans="1:92" s="337" customFormat="1">
      <c r="A529" s="1036">
        <f t="shared" si="716"/>
        <v>41684</v>
      </c>
      <c r="B529" s="1037">
        <f t="shared" si="791"/>
        <v>0.33333333333333398</v>
      </c>
      <c r="C529" s="847">
        <f t="shared" si="742"/>
        <v>24</v>
      </c>
      <c r="D529" s="1078">
        <v>3.5169065220244047</v>
      </c>
      <c r="E529" s="1078">
        <v>73.631840796019816</v>
      </c>
      <c r="F529" s="1023"/>
      <c r="G529" s="1023"/>
      <c r="H529" s="1023"/>
      <c r="I529" s="1023"/>
      <c r="J529" s="1023"/>
      <c r="K529" s="1023"/>
      <c r="L529" s="1023"/>
      <c r="M529" s="1023"/>
      <c r="N529" s="1023"/>
      <c r="O529" s="1023"/>
      <c r="P529" s="1023"/>
      <c r="Q529" s="1023"/>
      <c r="R529" s="1023"/>
      <c r="S529" s="1023"/>
      <c r="T529" s="1023"/>
      <c r="U529" s="1023"/>
      <c r="V529" s="1078">
        <v>1.7250279617998878</v>
      </c>
      <c r="W529" s="1078">
        <v>65.09</v>
      </c>
      <c r="X529" s="1023"/>
      <c r="Y529" s="1023"/>
      <c r="Z529" s="1023"/>
      <c r="AA529" s="1023"/>
      <c r="AB529" s="1023"/>
      <c r="AC529" s="1023"/>
      <c r="AD529" s="1021">
        <f>D528*(100-E528)/(100-W529)</f>
        <v>1.9570323689487257</v>
      </c>
      <c r="AE529" s="1055">
        <f>D528-V529</f>
        <v>1.074972038200112</v>
      </c>
      <c r="AF529" s="847">
        <f>100*(AVERAGE(D$512,D$507,D$529,D$505,D$493,D$494,D$498,D$525,D$528,D$521)-V529)/AVERAGE(D$512,D$507,D$529,D$505,D$493,D$494,D$498,D$525,D$528,D$521)</f>
        <v>35.612968471235817</v>
      </c>
      <c r="AG529" s="847">
        <f>100*(1-((100-AVERAGE(E$512,E$507,E$529,E$505,E$493,E$494,E$498,E$525,E$528,E$521))/(100-W529)))</f>
        <v>38.183570790305566</v>
      </c>
      <c r="AH529" s="1055">
        <f>E528-W529</f>
        <v>10.509999999999991</v>
      </c>
      <c r="AI529" s="847">
        <f>100*(1-((V529*W529)/(AVERAGE(D$512,D$507,D$529,D$505,D$493,D$494,D$498,D$525,D$528,D$521)*AVERAGE(E$512,E$507,E$529,E$505,E$493,E$494,E$498,E$525,E$528,E$521))))</f>
        <v>46.557535686679564</v>
      </c>
      <c r="AJ529" s="847">
        <f>100*100*((AVERAGE(E$512,E$507,E$529,E$505,E$493,E$494,E$498,E$525,E$528,E$521)-W529)/((100-W529)*AVERAGE(E$512,E$507,E$529,E$505,E$493,E$494,E$498,E$525,E$528,E$521)))</f>
        <v>48.691184644222361</v>
      </c>
      <c r="AK529" s="1023"/>
      <c r="AL529" s="1023">
        <v>35.6</v>
      </c>
      <c r="AM529" s="1023">
        <v>1034</v>
      </c>
      <c r="AN529" s="334">
        <f t="shared" si="812"/>
        <v>49.680000000000007</v>
      </c>
      <c r="AO529" s="334">
        <f t="shared" si="813"/>
        <v>28.442028985507243</v>
      </c>
      <c r="AP529" s="1023">
        <v>551</v>
      </c>
      <c r="AQ529" s="1057">
        <f t="shared" si="743"/>
        <v>32587.312500000004</v>
      </c>
      <c r="AR529" s="348">
        <f t="shared" si="814"/>
        <v>844.85625000000073</v>
      </c>
      <c r="AS529" s="512">
        <f t="shared" si="815"/>
        <v>35.202343750000033</v>
      </c>
      <c r="AT529" s="334">
        <f>AR529/(AVERAGE(AN529,AN530)*(AVERAGE(D$512,D$507,D$529,D$505,D$493,D$494,D$498,D$525,D$528,D$521))*AVERAGE(E$512,E$507,E$529,E$505,E$493,E$494,E$498,E$525,E$528,E$521)*0.0001)</f>
        <v>664.88587061818487</v>
      </c>
      <c r="AU529" s="334">
        <f>(AQ529-AQ523)/(AVERAGE(AN523:AN529)*((AVERAGE(D$512,D$507,D$529,D$505,D$493,D$494,D$498,D$525,D$528,D$521)*AVERAGE(E$512,E$507,E$529,E$505,E$493,E$494,E$498,E$525,E$528,E$521))-(V529*W529))*0.0001*(SUM(C523:C529)/24))</f>
        <v>1345.8487545646033</v>
      </c>
      <c r="AV529" s="512">
        <f>AR529/(AVERAGE(AN530,AN529)*AVERAGE(D$512,D$507,D$529,D$505,D$493,D$494,D$498,D$525,D$528,D$521)*0.01)</f>
        <v>521.40273221378459</v>
      </c>
      <c r="AW529" s="848">
        <f t="shared" si="782"/>
        <v>0.59791666666666721</v>
      </c>
      <c r="AX529" s="1023"/>
      <c r="AY529" s="1023"/>
      <c r="AZ529" s="1023"/>
      <c r="BA529" s="1023"/>
      <c r="BB529" s="1023"/>
      <c r="BC529" s="1023"/>
      <c r="BD529" s="1023"/>
      <c r="BE529" s="1023"/>
      <c r="BF529" s="1023"/>
      <c r="BG529" s="1075">
        <v>1.7484042342306609</v>
      </c>
      <c r="BH529" s="1075">
        <v>64.625850340135969</v>
      </c>
      <c r="BI529" s="1023"/>
      <c r="BJ529" s="1023"/>
      <c r="BK529" s="1023"/>
      <c r="BL529" s="1023"/>
      <c r="BM529" s="1023"/>
      <c r="BN529" s="1023"/>
      <c r="BO529" s="847">
        <f>D528*(100-E528)/(100-BH529)</f>
        <v>1.9313538461538418</v>
      </c>
      <c r="BP529" s="1055">
        <f>D528-BG529</f>
        <v>1.0515957657693389</v>
      </c>
      <c r="BQ529" s="1056">
        <f>100*(AVERAGE(D$512,D$507,D$529,D$505,D$493,D$494,D$498,D$525,D$528,D$521)-BG529)/AVERAGE(D$512,D$507,D$529,D$505,D$493,D$494,D$498,D$525,D$528,D$521)</f>
        <v>34.740444185626721</v>
      </c>
      <c r="BR529" s="1056">
        <f>100*(1-((100-AVERAGE(E$512,E$507,E$529,E$505,E$493,E$494,E$498,E$525,E$528,E$521))/(100-BH529)))</f>
        <v>38.994673668185996</v>
      </c>
      <c r="BS529" s="1055">
        <f>E528-BH529</f>
        <v>10.974149659864025</v>
      </c>
      <c r="BT529" s="1055">
        <f>100*(1-((BG529*BH529)/(AVERAGE(D$512,D$507,D$529,D$505,D$493,D$494,D$498,D$525,D$528,D$521)*AVERAGE(E$512,E$507,E$529,E$505,E$493,E$494,E$498,E$525,E$528,E$521))))</f>
        <v>46.219580520539004</v>
      </c>
      <c r="BU529" s="847">
        <f>100*100*((AVERAGE(E$512,E$507,E$529,E$505,E$493,E$494,E$498,E$525,E$528,E$521)-BH529)/((100-BH529)*AVERAGE(E$512,E$507,E$529,E$505,E$493,E$494,E$498,E$525,E$528,E$521)))</f>
        <v>49.725492310449418</v>
      </c>
      <c r="BV529" s="1023"/>
      <c r="BW529" s="1023">
        <v>50.4</v>
      </c>
      <c r="BX529" s="1023">
        <v>655</v>
      </c>
      <c r="BY529" s="1056">
        <f t="shared" si="816"/>
        <v>32</v>
      </c>
      <c r="BZ529" s="1056">
        <f t="shared" si="817"/>
        <v>23.3125</v>
      </c>
      <c r="CA529" s="1023">
        <v>316</v>
      </c>
      <c r="CB529" s="1057">
        <f t="shared" si="744"/>
        <v>18827.734375</v>
      </c>
      <c r="CC529" s="334">
        <f t="shared" si="818"/>
        <v>429.296875</v>
      </c>
      <c r="CD529" s="334">
        <f t="shared" si="819"/>
        <v>17.887369791666668</v>
      </c>
      <c r="CE529" s="512">
        <f>CC529/(AVERAGE(BY530,BY529)*(AVERAGE(D$512,D$507,D$529,D$505,D$493,D$494,D$498,D$525,D$528,D$521))*AVERAGE(E$512,E$507,E$529,E$505,E$493,E$494,E$498,E$525,E$528,E$521)*0.0001)</f>
        <v>638.53368672173201</v>
      </c>
      <c r="CF529" s="334">
        <f>(CB529-CB523)/(AVERAGE(BY523:BY529)*((AVERAGE(D$512,D$507,D$529,D$505,D$493,D$494,D$498,D$525,D$528,D$521)*AVERAGE(E$512,E$507,E$529,E$505,E$493,E$494,E$498,E$525,E$528,E$521))-(BG529*BH529))*0.0001*(SUM(C523:C529)/24))</f>
        <v>1409.7163563853746</v>
      </c>
      <c r="CG529" s="334">
        <f>CC529/(AVERAGE(BY529,BY530)*AVERAGE((D$512,D$507,D$529,D$505,D$493,D$494,D$498,D$525,D$528,D$521))*0.01)</f>
        <v>500.73738002238417</v>
      </c>
      <c r="CH529" s="848">
        <f t="shared" si="787"/>
        <v>0.57546497989276135</v>
      </c>
      <c r="CI529" s="1023"/>
      <c r="CJ529" s="1023"/>
      <c r="CK529" s="1023"/>
      <c r="CL529" s="1023"/>
      <c r="CM529" s="1023"/>
      <c r="CN529" s="1023"/>
    </row>
    <row r="530" spans="1:92">
      <c r="A530" s="1034">
        <f t="shared" si="716"/>
        <v>41685</v>
      </c>
      <c r="B530" s="1035">
        <f t="shared" si="791"/>
        <v>0.33333333333333398</v>
      </c>
      <c r="C530" s="854">
        <f t="shared" si="742"/>
        <v>24</v>
      </c>
      <c r="D530" s="1044"/>
      <c r="E530" s="1044"/>
      <c r="F530" s="1044"/>
      <c r="G530" s="1044"/>
      <c r="H530" s="1044"/>
      <c r="I530" s="1044"/>
      <c r="J530" s="1044"/>
      <c r="K530" s="1044"/>
      <c r="L530" s="1044"/>
      <c r="M530" s="1044"/>
      <c r="N530" s="1044"/>
      <c r="O530" s="1044"/>
      <c r="P530" s="1044"/>
      <c r="Q530" s="1044"/>
      <c r="R530" s="1044"/>
      <c r="S530" s="1044"/>
      <c r="T530" s="1044"/>
      <c r="U530" s="1044"/>
      <c r="V530" s="1044"/>
      <c r="W530" s="1044"/>
      <c r="X530" s="1044"/>
      <c r="Y530" s="1044"/>
      <c r="Z530" s="1044"/>
      <c r="AA530" s="1044"/>
      <c r="AB530" s="1044"/>
      <c r="AC530" s="1044"/>
      <c r="AD530" s="1044"/>
      <c r="AE530" s="1044"/>
      <c r="AF530" s="1044"/>
      <c r="AG530" s="1044"/>
      <c r="AH530" s="1044"/>
      <c r="AI530" s="1044"/>
      <c r="AJ530" s="1044"/>
      <c r="AK530" s="1044"/>
      <c r="AL530" s="1044">
        <v>35.299999999999997</v>
      </c>
      <c r="AM530" s="1044">
        <v>1067</v>
      </c>
      <c r="AN530" s="208">
        <f t="shared" si="812"/>
        <v>71.28</v>
      </c>
      <c r="AO530" s="208">
        <f t="shared" si="813"/>
        <v>19.823232323232322</v>
      </c>
      <c r="AP530" s="1044">
        <v>574</v>
      </c>
      <c r="AQ530" s="1047">
        <f t="shared" si="743"/>
        <v>33975.290625000001</v>
      </c>
      <c r="AR530" s="76">
        <f t="shared" si="814"/>
        <v>1387.9781249999978</v>
      </c>
      <c r="AS530" s="230">
        <f t="shared" si="815"/>
        <v>57.832421874999909</v>
      </c>
      <c r="AT530" s="208">
        <f t="shared" ref="AT530:AT534" si="820">AR530/(AVERAGE(AN530,AN531)*(AVERAGE(D$512,D$507,D$529,D$505,D$493,D$494,D$498,D$525,D$528,D$521))*AVERAGE(E$512,E$507,E$529,E$505,E$493,E$494,E$498,E$525,E$528,E$521)*0.0001)</f>
        <v>1002.7786901126701</v>
      </c>
      <c r="AU530" s="1044"/>
      <c r="AV530" s="230">
        <f t="shared" ref="AV530:AV534" si="821">AR530/(AVERAGE(AN531,AN530)*AVERAGE(D$512,D$507,D$529,D$505,D$493,D$494,D$498,D$525,D$528,D$521)*0.01)</f>
        <v>786.37789120767331</v>
      </c>
      <c r="AW530" s="855">
        <f t="shared" si="782"/>
        <v>0.98229166666666512</v>
      </c>
      <c r="AX530" s="1044"/>
      <c r="AY530" s="1044"/>
      <c r="AZ530" s="1044"/>
      <c r="BA530" s="1044"/>
      <c r="BB530" s="1044"/>
      <c r="BC530" s="1044"/>
      <c r="BD530" s="1044"/>
      <c r="BE530" s="1044"/>
      <c r="BF530" s="1044"/>
      <c r="BG530" s="1044"/>
      <c r="BH530" s="1044"/>
      <c r="BI530" s="1044"/>
      <c r="BJ530" s="1044"/>
      <c r="BK530" s="1044"/>
      <c r="BL530" s="1044"/>
      <c r="BM530" s="1044"/>
      <c r="BN530" s="1044"/>
      <c r="BO530" s="1044"/>
      <c r="BP530" s="1044"/>
      <c r="BQ530" s="1044"/>
      <c r="BR530" s="1044"/>
      <c r="BS530" s="1044"/>
      <c r="BT530" s="1044"/>
      <c r="BU530" s="1044"/>
      <c r="BV530" s="1044"/>
      <c r="BW530" s="1044">
        <v>50.5</v>
      </c>
      <c r="BX530" s="1044">
        <v>671</v>
      </c>
      <c r="BY530" s="1054">
        <f t="shared" si="816"/>
        <v>32</v>
      </c>
      <c r="BZ530" s="1054">
        <f t="shared" si="817"/>
        <v>23.3125</v>
      </c>
      <c r="CA530" s="1044">
        <v>328</v>
      </c>
      <c r="CB530" s="1047">
        <f t="shared" si="744"/>
        <v>19563.671875</v>
      </c>
      <c r="CC530" s="208">
        <f t="shared" si="818"/>
        <v>735.9375</v>
      </c>
      <c r="CD530" s="208">
        <f t="shared" si="819"/>
        <v>30.6640625</v>
      </c>
      <c r="CE530" s="230">
        <f t="shared" ref="CE530:CE534" si="822">CC530/(AVERAGE(BY531,BY530)*(AVERAGE(D$512,D$507,D$529,D$505,D$493,D$494,D$498,D$525,D$528,D$521))*AVERAGE(E$512,E$507,E$529,E$505,E$493,E$494,E$498,E$525,E$528,E$521)*0.0001)</f>
        <v>1094.6291772372549</v>
      </c>
      <c r="CF530" s="1044"/>
      <c r="CG530" s="208">
        <f>CC530/(AVERAGE(BY530,BY531)*AVERAGE((D$512,D$507,D$529,D$505,D$493,D$494,D$498,D$525,D$528,D$521))*0.01)</f>
        <v>858.40693718123009</v>
      </c>
      <c r="CH530" s="855">
        <f t="shared" si="787"/>
        <v>0.98651139410187672</v>
      </c>
      <c r="CI530" s="1044"/>
      <c r="CJ530" s="1044"/>
      <c r="CK530" s="1044"/>
      <c r="CL530" s="1044"/>
      <c r="CM530" s="1044"/>
      <c r="CN530" s="1044"/>
    </row>
    <row r="531" spans="1:92">
      <c r="A531" s="1034">
        <f t="shared" ref="A531:A594" si="823">A530+1</f>
        <v>41686</v>
      </c>
      <c r="B531" s="1035">
        <f t="shared" si="791"/>
        <v>0.33333333333333398</v>
      </c>
      <c r="C531" s="854">
        <f t="shared" si="742"/>
        <v>24</v>
      </c>
      <c r="D531" s="1044"/>
      <c r="E531" s="1044"/>
      <c r="F531" s="1044"/>
      <c r="G531" s="1044"/>
      <c r="H531" s="1044"/>
      <c r="I531" s="1044"/>
      <c r="J531" s="1044"/>
      <c r="K531" s="1044"/>
      <c r="L531" s="1044"/>
      <c r="M531" s="1044"/>
      <c r="N531" s="1044"/>
      <c r="O531" s="1044"/>
      <c r="P531" s="1044"/>
      <c r="Q531" s="1044"/>
      <c r="R531" s="1044"/>
      <c r="S531" s="1044"/>
      <c r="T531" s="1044"/>
      <c r="U531" s="1044"/>
      <c r="V531" s="1044"/>
      <c r="W531" s="1044"/>
      <c r="X531" s="1044"/>
      <c r="Y531" s="1044"/>
      <c r="Z531" s="1044"/>
      <c r="AA531" s="1044"/>
      <c r="AB531" s="1044"/>
      <c r="AC531" s="1044"/>
      <c r="AD531" s="1044"/>
      <c r="AE531" s="1044"/>
      <c r="AF531" s="1044"/>
      <c r="AG531" s="1044"/>
      <c r="AH531" s="1044"/>
      <c r="AI531" s="1044"/>
      <c r="AJ531" s="1044"/>
      <c r="AK531" s="1044"/>
      <c r="AL531" s="1044">
        <v>35.6</v>
      </c>
      <c r="AM531" s="1044">
        <v>1095</v>
      </c>
      <c r="AN531" s="208">
        <f t="shared" si="812"/>
        <v>60.480000000000004</v>
      </c>
      <c r="AO531" s="208">
        <f t="shared" si="813"/>
        <v>23.363095238095237</v>
      </c>
      <c r="AP531" s="1044">
        <v>597</v>
      </c>
      <c r="AQ531" s="1047">
        <f t="shared" si="743"/>
        <v>35363.268750000003</v>
      </c>
      <c r="AR531" s="76">
        <f t="shared" si="814"/>
        <v>1387.9781250000015</v>
      </c>
      <c r="AS531" s="230">
        <f t="shared" si="815"/>
        <v>57.832421875000058</v>
      </c>
      <c r="AT531" s="208">
        <f t="shared" si="820"/>
        <v>1092.3125017298755</v>
      </c>
      <c r="AU531" s="1044"/>
      <c r="AV531" s="230">
        <f t="shared" si="821"/>
        <v>856.5902029226462</v>
      </c>
      <c r="AW531" s="855">
        <f t="shared" si="782"/>
        <v>0.98229166666666767</v>
      </c>
      <c r="AX531" s="1044"/>
      <c r="AY531" s="1044"/>
      <c r="AZ531" s="1044"/>
      <c r="BA531" s="1044"/>
      <c r="BB531" s="1044"/>
      <c r="BC531" s="1044"/>
      <c r="BD531" s="1044"/>
      <c r="BE531" s="1044"/>
      <c r="BF531" s="1044"/>
      <c r="BG531" s="1044"/>
      <c r="BH531" s="1044"/>
      <c r="BI531" s="1044"/>
      <c r="BJ531" s="1044"/>
      <c r="BK531" s="1044"/>
      <c r="BL531" s="1044"/>
      <c r="BM531" s="1044"/>
      <c r="BN531" s="1044"/>
      <c r="BO531" s="1044"/>
      <c r="BP531" s="1044"/>
      <c r="BQ531" s="1044"/>
      <c r="BR531" s="1044"/>
      <c r="BS531" s="1044"/>
      <c r="BT531" s="1044"/>
      <c r="BU531" s="1044"/>
      <c r="BV531" s="1044"/>
      <c r="BW531" s="1044">
        <v>50.6</v>
      </c>
      <c r="BX531" s="1044">
        <v>687</v>
      </c>
      <c r="BY531" s="1054">
        <f t="shared" si="816"/>
        <v>32</v>
      </c>
      <c r="BZ531" s="1054">
        <f t="shared" si="817"/>
        <v>23.3125</v>
      </c>
      <c r="CA531" s="1044">
        <v>339</v>
      </c>
      <c r="CB531" s="1047">
        <f t="shared" si="744"/>
        <v>20238.28125</v>
      </c>
      <c r="CC531" s="208">
        <f t="shared" si="818"/>
        <v>674.609375</v>
      </c>
      <c r="CD531" s="208">
        <f t="shared" si="819"/>
        <v>28.108723958333332</v>
      </c>
      <c r="CE531" s="230">
        <f t="shared" si="822"/>
        <v>1003.4100791341504</v>
      </c>
      <c r="CF531" s="1044"/>
      <c r="CG531" s="208">
        <f>CC531/(AVERAGE(BY531,BY532)*AVERAGE((D$512,D$507,D$529,D$505,D$493,D$494,D$498,D$525,D$528,D$521))*0.01)</f>
        <v>786.87302574946091</v>
      </c>
      <c r="CH531" s="855">
        <f t="shared" si="787"/>
        <v>0.90430211126005366</v>
      </c>
      <c r="CI531" s="1044"/>
      <c r="CJ531" s="1044"/>
      <c r="CK531" s="1044"/>
      <c r="CL531" s="1044"/>
      <c r="CM531" s="1044"/>
      <c r="CN531" s="1044"/>
    </row>
    <row r="532" spans="1:92">
      <c r="A532" s="1034">
        <f t="shared" si="823"/>
        <v>41687</v>
      </c>
      <c r="B532" s="1035">
        <f t="shared" si="791"/>
        <v>0.33333333333333398</v>
      </c>
      <c r="C532" s="854">
        <f t="shared" si="742"/>
        <v>24</v>
      </c>
      <c r="D532" s="1044"/>
      <c r="E532" s="1044"/>
      <c r="F532" s="1044"/>
      <c r="G532" s="1044"/>
      <c r="H532" s="1044"/>
      <c r="I532" s="1044"/>
      <c r="J532" s="1044"/>
      <c r="K532" s="1044"/>
      <c r="L532" s="1044"/>
      <c r="M532" s="1044"/>
      <c r="N532" s="1044"/>
      <c r="O532" s="1044"/>
      <c r="P532" s="1044"/>
      <c r="Q532" s="1044"/>
      <c r="R532" s="1044"/>
      <c r="S532" s="1044"/>
      <c r="T532" s="1044"/>
      <c r="U532" s="1044"/>
      <c r="V532" s="1044"/>
      <c r="W532" s="1044"/>
      <c r="X532" s="1044"/>
      <c r="Y532" s="1044"/>
      <c r="Z532" s="1044"/>
      <c r="AA532" s="1044"/>
      <c r="AB532" s="1044"/>
      <c r="AC532" s="1044"/>
      <c r="AD532" s="1044"/>
      <c r="AE532" s="1044"/>
      <c r="AF532" s="1044"/>
      <c r="AG532" s="1044"/>
      <c r="AH532" s="1044"/>
      <c r="AI532" s="1044"/>
      <c r="AJ532" s="1044"/>
      <c r="AK532" s="1044"/>
      <c r="AL532" s="1044">
        <v>35.6</v>
      </c>
      <c r="AM532" s="1044">
        <v>1123</v>
      </c>
      <c r="AN532" s="208">
        <f t="shared" si="812"/>
        <v>60.480000000000004</v>
      </c>
      <c r="AO532" s="208">
        <f t="shared" si="813"/>
        <v>23.363095238095237</v>
      </c>
      <c r="AP532" s="1044">
        <v>618</v>
      </c>
      <c r="AQ532" s="1047">
        <f t="shared" si="743"/>
        <v>36630.553125000006</v>
      </c>
      <c r="AR532" s="76">
        <f t="shared" si="814"/>
        <v>1267.2843750000029</v>
      </c>
      <c r="AS532" s="230">
        <f t="shared" si="815"/>
        <v>52.803515625000124</v>
      </c>
      <c r="AT532" s="208">
        <f t="shared" si="820"/>
        <v>997.32880592727884</v>
      </c>
      <c r="AU532" s="1044"/>
      <c r="AV532" s="230">
        <f t="shared" si="821"/>
        <v>782.10409832067796</v>
      </c>
      <c r="AW532" s="855">
        <f t="shared" si="782"/>
        <v>0.89687500000000209</v>
      </c>
      <c r="AX532" s="1044"/>
      <c r="AY532" s="1044"/>
      <c r="AZ532" s="1044"/>
      <c r="BA532" s="1044"/>
      <c r="BB532" s="1044"/>
      <c r="BC532" s="1044"/>
      <c r="BD532" s="1044"/>
      <c r="BE532" s="1044"/>
      <c r="BF532" s="1044"/>
      <c r="BG532" s="1044"/>
      <c r="BH532" s="1044"/>
      <c r="BI532" s="1044"/>
      <c r="BJ532" s="1044"/>
      <c r="BK532" s="1044"/>
      <c r="BL532" s="1044"/>
      <c r="BM532" s="1044"/>
      <c r="BN532" s="1044"/>
      <c r="BO532" s="1044"/>
      <c r="BP532" s="1044"/>
      <c r="BQ532" s="1044"/>
      <c r="BR532" s="1044"/>
      <c r="BS532" s="1044"/>
      <c r="BT532" s="1044"/>
      <c r="BU532" s="1044"/>
      <c r="BV532" s="1044"/>
      <c r="BW532" s="1044">
        <v>50.5</v>
      </c>
      <c r="BX532" s="1044">
        <v>703</v>
      </c>
      <c r="BY532" s="1054">
        <f t="shared" si="816"/>
        <v>32</v>
      </c>
      <c r="BZ532" s="1054">
        <f t="shared" si="817"/>
        <v>23.3125</v>
      </c>
      <c r="CA532" s="1044">
        <v>350</v>
      </c>
      <c r="CB532" s="1047">
        <f t="shared" si="744"/>
        <v>20912.890625</v>
      </c>
      <c r="CC532" s="208">
        <f t="shared" si="818"/>
        <v>674.609375</v>
      </c>
      <c r="CD532" s="208">
        <f t="shared" si="819"/>
        <v>28.108723958333332</v>
      </c>
      <c r="CE532" s="230">
        <f t="shared" si="822"/>
        <v>1003.4100791341504</v>
      </c>
      <c r="CF532" s="1044"/>
      <c r="CG532" s="208">
        <f>CC532/(AVERAGE(BY532,BY533)*AVERAGE((D$512,D$507,D$529,D$505,D$493,D$494,D$498,D$525,D$528,D$521))*0.01)</f>
        <v>786.87302574946091</v>
      </c>
      <c r="CH532" s="855">
        <f t="shared" si="787"/>
        <v>0.90430211126005366</v>
      </c>
      <c r="CI532" s="1044"/>
      <c r="CJ532" s="1044"/>
      <c r="CK532" s="1044"/>
      <c r="CL532" s="1044"/>
      <c r="CM532" s="1044"/>
      <c r="CN532" s="1044"/>
    </row>
    <row r="533" spans="1:92">
      <c r="A533" s="1034">
        <f t="shared" si="823"/>
        <v>41688</v>
      </c>
      <c r="B533" s="1035">
        <f t="shared" si="791"/>
        <v>0.33333333333333398</v>
      </c>
      <c r="C533" s="854">
        <f t="shared" si="742"/>
        <v>24</v>
      </c>
      <c r="D533" s="1044"/>
      <c r="E533" s="1044"/>
      <c r="F533" s="1044"/>
      <c r="G533" s="1044"/>
      <c r="H533" s="1044"/>
      <c r="I533" s="1044"/>
      <c r="J533" s="1044"/>
      <c r="K533" s="1044"/>
      <c r="L533" s="1044"/>
      <c r="M533" s="1044"/>
      <c r="N533" s="1044"/>
      <c r="O533" s="1044"/>
      <c r="P533" s="1044"/>
      <c r="Q533" s="1044"/>
      <c r="R533" s="1044"/>
      <c r="S533" s="1044"/>
      <c r="T533" s="1044"/>
      <c r="U533" s="1044"/>
      <c r="V533" s="1044"/>
      <c r="W533" s="1044"/>
      <c r="X533" s="1044"/>
      <c r="Y533" s="1044"/>
      <c r="Z533" s="1044"/>
      <c r="AA533" s="1044"/>
      <c r="AB533" s="1044"/>
      <c r="AC533" s="1044"/>
      <c r="AD533" s="1044"/>
      <c r="AE533" s="1044"/>
      <c r="AF533" s="1044"/>
      <c r="AG533" s="1044"/>
      <c r="AH533" s="1044"/>
      <c r="AI533" s="1044"/>
      <c r="AJ533" s="1044"/>
      <c r="AK533" s="1044"/>
      <c r="AL533" s="1044">
        <v>35.799999999999997</v>
      </c>
      <c r="AM533" s="1044">
        <v>1151</v>
      </c>
      <c r="AN533" s="208">
        <f t="shared" ref="AN533:AN548" si="824">(AM533-AM532)*AQ$1/((C532)/24)</f>
        <v>60.480000000000004</v>
      </c>
      <c r="AO533" s="208">
        <f t="shared" ref="AO533:AO548" si="825">AQ$3/AN533</f>
        <v>23.363095238095237</v>
      </c>
      <c r="AP533" s="1044">
        <v>639</v>
      </c>
      <c r="AQ533" s="1047">
        <f t="shared" si="743"/>
        <v>37897.837500000001</v>
      </c>
      <c r="AR533" s="76">
        <f t="shared" ref="AR533:AR548" si="826">(AQ533-AQ532)/(C533/24)</f>
        <v>1267.2843749999956</v>
      </c>
      <c r="AS533" s="230">
        <f t="shared" ref="AS533:AS548" si="827">(AQ533-AQ532)/C533</f>
        <v>52.803515624999818</v>
      </c>
      <c r="AT533" s="208">
        <f t="shared" si="820"/>
        <v>997.32880592727304</v>
      </c>
      <c r="AU533" s="1044"/>
      <c r="AV533" s="230">
        <f t="shared" si="821"/>
        <v>782.10409832067353</v>
      </c>
      <c r="AW533" s="855">
        <f t="shared" si="782"/>
        <v>0.89687499999999687</v>
      </c>
      <c r="AX533" s="1044"/>
      <c r="AY533" s="1044"/>
      <c r="AZ533" s="1044"/>
      <c r="BA533" s="1044"/>
      <c r="BB533" s="1044"/>
      <c r="BC533" s="1044"/>
      <c r="BD533" s="1044"/>
      <c r="BE533" s="1044"/>
      <c r="BF533" s="1044"/>
      <c r="BG533" s="1044"/>
      <c r="BH533" s="1044"/>
      <c r="BI533" s="1044"/>
      <c r="BJ533" s="1044"/>
      <c r="BK533" s="1044"/>
      <c r="BL533" s="1044"/>
      <c r="BM533" s="1044"/>
      <c r="BN533" s="1044"/>
      <c r="BO533" s="1044"/>
      <c r="BP533" s="1044"/>
      <c r="BQ533" s="1044"/>
      <c r="BR533" s="1044"/>
      <c r="BS533" s="1044"/>
      <c r="BT533" s="1044"/>
      <c r="BU533" s="1044"/>
      <c r="BV533" s="1044"/>
      <c r="BW533" s="1044">
        <v>50.7</v>
      </c>
      <c r="BX533" s="1044">
        <v>719</v>
      </c>
      <c r="BY533" s="1054">
        <f t="shared" ref="BY533:BY548" si="828">(BX533-BX532)*CB$1/((C533)/24)</f>
        <v>32</v>
      </c>
      <c r="BZ533" s="1054">
        <f t="shared" ref="BZ533:BZ548" si="829">CB$3/BY533</f>
        <v>23.3125</v>
      </c>
      <c r="CA533" s="1044">
        <v>358</v>
      </c>
      <c r="CB533" s="1047">
        <f t="shared" si="744"/>
        <v>21403.515625</v>
      </c>
      <c r="CC533" s="208">
        <f t="shared" ref="CC533:CC548" si="830">(CB533-CB532)/((C533/24))</f>
        <v>490.625</v>
      </c>
      <c r="CD533" s="208">
        <f t="shared" ref="CD533:CD548" si="831">(CB533-CB532)/(C533)</f>
        <v>20.442708333333332</v>
      </c>
      <c r="CE533" s="230">
        <f t="shared" si="822"/>
        <v>729.75278482483657</v>
      </c>
      <c r="CF533" s="1044"/>
      <c r="CG533" s="208">
        <f>CC533/(AVERAGE(BY533,BY534)*AVERAGE((D$512,D$507,D$529,D$505,D$493,D$494,D$498,D$525,D$528,D$521))*0.01)</f>
        <v>572.27129145415336</v>
      </c>
      <c r="CH533" s="855">
        <f t="shared" si="787"/>
        <v>0.6576742627345844</v>
      </c>
      <c r="CI533" s="1044"/>
      <c r="CJ533" s="1044"/>
      <c r="CK533" s="1044"/>
      <c r="CL533" s="1044"/>
      <c r="CM533" s="1044"/>
      <c r="CN533" s="1044"/>
    </row>
    <row r="534" spans="1:92">
      <c r="A534" s="1034">
        <f t="shared" si="823"/>
        <v>41689</v>
      </c>
      <c r="B534" s="1035">
        <f t="shared" si="791"/>
        <v>0.33333333333333398</v>
      </c>
      <c r="C534" s="854">
        <f t="shared" si="742"/>
        <v>24</v>
      </c>
      <c r="D534" s="1044"/>
      <c r="E534" s="1044"/>
      <c r="F534" s="1044"/>
      <c r="G534" s="1044"/>
      <c r="H534" s="1044"/>
      <c r="I534" s="1044"/>
      <c r="J534" s="1044"/>
      <c r="K534" s="1044"/>
      <c r="L534" s="1044"/>
      <c r="M534" s="1044">
        <v>52</v>
      </c>
      <c r="N534" s="1044">
        <v>85</v>
      </c>
      <c r="O534" s="1044"/>
      <c r="P534" s="1044"/>
      <c r="Q534" s="1044"/>
      <c r="R534" s="1044"/>
      <c r="S534" s="1044"/>
      <c r="T534" s="1044"/>
      <c r="U534" s="1044"/>
      <c r="V534" s="1044"/>
      <c r="W534" s="1044"/>
      <c r="X534" s="1044"/>
      <c r="Y534" s="1044"/>
      <c r="Z534" s="1044"/>
      <c r="AA534" s="1044"/>
      <c r="AB534" s="1044"/>
      <c r="AC534" s="1044"/>
      <c r="AD534" s="1044"/>
      <c r="AE534" s="1044"/>
      <c r="AF534" s="1044"/>
      <c r="AG534" s="1044"/>
      <c r="AH534" s="1044"/>
      <c r="AI534" s="1044"/>
      <c r="AJ534" s="1044"/>
      <c r="AK534" s="1044"/>
      <c r="AL534" s="1044">
        <v>35.700000000000003</v>
      </c>
      <c r="AM534" s="1044">
        <v>1179</v>
      </c>
      <c r="AN534" s="208">
        <f t="shared" si="824"/>
        <v>60.480000000000004</v>
      </c>
      <c r="AO534" s="208">
        <f t="shared" si="825"/>
        <v>23.363095238095237</v>
      </c>
      <c r="AP534" s="1044">
        <v>659</v>
      </c>
      <c r="AQ534" s="1047">
        <f t="shared" si="743"/>
        <v>39104.775000000001</v>
      </c>
      <c r="AR534" s="76">
        <f t="shared" si="826"/>
        <v>1206.9375</v>
      </c>
      <c r="AS534" s="230">
        <f t="shared" si="827"/>
        <v>50.2890625</v>
      </c>
      <c r="AT534" s="208">
        <f t="shared" si="820"/>
        <v>949.83695802597765</v>
      </c>
      <c r="AU534" s="1044"/>
      <c r="AV534" s="230">
        <f t="shared" si="821"/>
        <v>744.86104601969157</v>
      </c>
      <c r="AW534" s="855">
        <f t="shared" si="782"/>
        <v>0.85416666666666663</v>
      </c>
      <c r="AX534" s="1044"/>
      <c r="AY534" s="1044"/>
      <c r="AZ534" s="1044"/>
      <c r="BA534" s="1044"/>
      <c r="BB534" s="1044"/>
      <c r="BC534" s="1044"/>
      <c r="BD534" s="1044"/>
      <c r="BE534" s="1044"/>
      <c r="BF534" s="1044"/>
      <c r="BG534" s="1044"/>
      <c r="BH534" s="1044"/>
      <c r="BI534" s="1044"/>
      <c r="BJ534" s="1044"/>
      <c r="BK534" s="1044"/>
      <c r="BL534" s="1044"/>
      <c r="BM534" s="1044"/>
      <c r="BN534" s="1044"/>
      <c r="BO534" s="1044"/>
      <c r="BP534" s="1044"/>
      <c r="BQ534" s="1044"/>
      <c r="BR534" s="1044"/>
      <c r="BS534" s="1044"/>
      <c r="BT534" s="1044"/>
      <c r="BU534" s="1044"/>
      <c r="BV534" s="1044"/>
      <c r="BW534" s="1044">
        <v>50.6</v>
      </c>
      <c r="BX534" s="1044">
        <v>735</v>
      </c>
      <c r="BY534" s="1054">
        <f t="shared" si="828"/>
        <v>32</v>
      </c>
      <c r="BZ534" s="1054">
        <f t="shared" si="829"/>
        <v>23.3125</v>
      </c>
      <c r="CA534" s="1044">
        <v>366</v>
      </c>
      <c r="CB534" s="1047">
        <f t="shared" si="744"/>
        <v>21894.140625</v>
      </c>
      <c r="CC534" s="208">
        <f t="shared" si="830"/>
        <v>490.625</v>
      </c>
      <c r="CD534" s="208">
        <f t="shared" si="831"/>
        <v>20.442708333333332</v>
      </c>
      <c r="CE534" s="230">
        <f t="shared" si="822"/>
        <v>729.75278482483657</v>
      </c>
      <c r="CF534" s="1044"/>
      <c r="CG534" s="208">
        <f>CC534/(AVERAGE(BY534,BY535)*AVERAGE((D$512,D$507,D$529,D$505,D$493,D$494,D$498,D$525,D$528,D$521))*0.01)</f>
        <v>572.27129145415336</v>
      </c>
      <c r="CH534" s="855">
        <f t="shared" si="787"/>
        <v>0.6576742627345844</v>
      </c>
      <c r="CI534" s="1044"/>
      <c r="CJ534" s="1044"/>
      <c r="CK534" s="1044"/>
      <c r="CL534" s="1044"/>
      <c r="CM534" s="1044"/>
      <c r="CN534" s="1044"/>
    </row>
    <row r="535" spans="1:92" s="337" customFormat="1">
      <c r="A535" s="1036">
        <f t="shared" si="823"/>
        <v>41690</v>
      </c>
      <c r="B535" s="1037">
        <f t="shared" si="791"/>
        <v>0.33333333333333398</v>
      </c>
      <c r="C535" s="847">
        <f t="shared" si="742"/>
        <v>24</v>
      </c>
      <c r="D535" s="1075">
        <v>3.061101028433153</v>
      </c>
      <c r="E535" s="1075">
        <v>72.068511198945941</v>
      </c>
      <c r="F535" s="1023">
        <v>33100</v>
      </c>
      <c r="G535" s="1023"/>
      <c r="H535" s="1023">
        <v>36.200000000000003</v>
      </c>
      <c r="I535" s="1023">
        <v>4612</v>
      </c>
      <c r="J535" s="1023">
        <v>2291</v>
      </c>
      <c r="K535" s="1023">
        <v>33.6</v>
      </c>
      <c r="L535" s="1023">
        <v>170</v>
      </c>
      <c r="M535" s="1023"/>
      <c r="N535" s="1023"/>
      <c r="O535" s="1023"/>
      <c r="P535" s="1023"/>
      <c r="Q535" s="1023"/>
      <c r="R535" s="1023"/>
      <c r="S535" s="1023"/>
      <c r="T535" s="1023"/>
      <c r="U535" s="1023"/>
      <c r="V535" s="1078">
        <v>1.7417128180431831</v>
      </c>
      <c r="W535" s="1078">
        <v>65.898617511520996</v>
      </c>
      <c r="X535" s="1023">
        <v>20600</v>
      </c>
      <c r="Y535" s="1023">
        <v>29.5</v>
      </c>
      <c r="Z535" s="1023">
        <v>1323</v>
      </c>
      <c r="AA535" s="1023">
        <v>409</v>
      </c>
      <c r="AB535" s="1023">
        <v>59.2</v>
      </c>
      <c r="AC535" s="1023">
        <v>147</v>
      </c>
      <c r="AD535" s="1021">
        <f>D529*(100-E529)/(100-W535)</f>
        <v>2.7193721870245473</v>
      </c>
      <c r="AE535" s="1055">
        <f>D529-V535</f>
        <v>1.7751937039812216</v>
      </c>
      <c r="AF535" s="847">
        <f>100*(AVERAGE(D$512,D$507,D$529,D$505,D$535,D$494,D$498,D$525,D$528,D$521)-V535)/AVERAGE(D$512,D$507,D$529,D$505,D$535,D$494,D$498,D$525,D$528,D$521)</f>
        <v>38.3522200629994</v>
      </c>
      <c r="AG535" s="847">
        <f>100*(1-((100-AVERAGE(E$512,E$507,E$529,E$505,E$535,E$494,E$498,E$525,E$528,E$521))/(100-W535)))</f>
        <v>34.421238421154719</v>
      </c>
      <c r="AH535" s="1055">
        <f>E529-W535</f>
        <v>7.7332232844988198</v>
      </c>
      <c r="AI535" s="847">
        <f>100*(1-((V535*W535)/(AVERAGE(D$512,D$507,D$529,D$505,D$535,D$494,D$498,D$525,D$528,D$521)*AVERAGE(E$512,E$507,E$529,E$505,E$535,E$494,E$498,E$525,E$528,E$521))))</f>
        <v>47.672922685705402</v>
      </c>
      <c r="AJ535" s="847">
        <f>100*100*((AVERAGE(E$512,E$507,E$529,E$505,E$535,E$494,E$498,E$525,E$528,E$521)-W535)/((100-W535)*AVERAGE(E$512,E$507,E$529,E$505,E$535,E$494,E$498,E$525,E$528,E$521)))</f>
        <v>44.336277302788346</v>
      </c>
      <c r="AK535" s="1023"/>
      <c r="AL535" s="1023">
        <v>35.700000000000003</v>
      </c>
      <c r="AM535" s="1023">
        <v>1207</v>
      </c>
      <c r="AN535" s="208">
        <f t="shared" si="824"/>
        <v>60.480000000000004</v>
      </c>
      <c r="AO535" s="208">
        <f t="shared" si="825"/>
        <v>23.363095238095237</v>
      </c>
      <c r="AP535" s="1023">
        <v>678</v>
      </c>
      <c r="AQ535" s="1047">
        <f t="shared" si="743"/>
        <v>40251.365625000006</v>
      </c>
      <c r="AR535" s="76">
        <f t="shared" si="826"/>
        <v>1146.5906250000044</v>
      </c>
      <c r="AS535" s="230">
        <f t="shared" si="827"/>
        <v>47.774609375000182</v>
      </c>
      <c r="AT535" s="208">
        <f>AR535/(AVERAGE(AN535,AN536)*(AVERAGE(D$512,D$507,D$529,D$505,D$535,D$494,D$498,D$525,D$528,D$521))*AVERAGE(E$512,E$507,E$529,E$505,E$535,E$494,E$498,E$525,E$528,E$521)*0.0001)</f>
        <v>864.31137882971518</v>
      </c>
      <c r="AU535" s="334">
        <f>(AQ535-AQ529)/(AVERAGE(AN529:AN535)*((AVERAGE(D$512,D$507,D$529,D$505,D$535,D$494,D$498,D$525,D$528,D$521)*AVERAGE(E$512,E$507,E$529,E$505,E$535,E$494,E$498,E$525,E$528,E$521))-(V535*W535))*0.0001*(SUM(C529:C535)/24))</f>
        <v>1731.2131112592965</v>
      </c>
      <c r="AV535" s="230">
        <f>AR535/(AVERAGE(AN536,AN535)*AVERAGE(D$512,D$507,D$529,D$505,D$535,D$494,D$498,D$525,D$528,D$521)*0.01)</f>
        <v>671.02314065830603</v>
      </c>
      <c r="AW535" s="855">
        <f t="shared" si="782"/>
        <v>0.81145833333333639</v>
      </c>
      <c r="AX535" s="1023"/>
      <c r="AY535" s="1023"/>
      <c r="AZ535" s="1023"/>
      <c r="BA535" s="1023"/>
      <c r="BB535" s="1023"/>
      <c r="BC535" s="1023"/>
      <c r="BD535" s="1023"/>
      <c r="BE535" s="1023"/>
      <c r="BF535" s="1023"/>
      <c r="BG535" s="1075">
        <v>1.7772192801364239</v>
      </c>
      <c r="BH535" s="1075">
        <v>63.636363636363505</v>
      </c>
      <c r="BI535" s="1023">
        <v>18500</v>
      </c>
      <c r="BJ535" s="1023">
        <v>27.5</v>
      </c>
      <c r="BK535" s="1023">
        <v>1825</v>
      </c>
      <c r="BL535" s="1023">
        <v>407</v>
      </c>
      <c r="BM535" s="1023">
        <v>68.2</v>
      </c>
      <c r="BN535" s="1023">
        <v>115</v>
      </c>
      <c r="BO535" s="847">
        <f>D529*(100-E529)/(100-BH535)</f>
        <v>2.5501946546520236</v>
      </c>
      <c r="BP535" s="1055">
        <f>D529-BG535</f>
        <v>1.7396872418879807</v>
      </c>
      <c r="BQ535" s="1056">
        <f>100*(AVERAGE(D$512,D$507,D$529,D$505,D$535,D$494,D$498,D$525,D$528,D$521)-BG535)/AVERAGE(D$512,D$507,D$529,D$505,D$535,D$494,D$498,D$525,D$528,D$521)</f>
        <v>37.095471798423382</v>
      </c>
      <c r="BR535" s="1056">
        <f>100*(1-((100-AVERAGE(E$512,E$507,E$529,E$505,E$535,E$494,E$498,E$525,E$528,E$521))/(100-BH535)))</f>
        <v>38.501023127673442</v>
      </c>
      <c r="BS535" s="1055">
        <f>E529-BH535</f>
        <v>9.9954771596563106</v>
      </c>
      <c r="BT535" s="1055">
        <f>100*(1-((BG535*BH535)/(AVERAGE(D$512,D$507,D$529,D$505,D$535,D$494,D$498,D$525,D$528,D$521)*AVERAGE(E$512,E$507,E$529,E$505,E$535,E$494,E$498,E$525,E$528,E$521))))</f>
        <v>48.439158398351346</v>
      </c>
      <c r="BU535" s="847">
        <f>100*100*((AVERAGE(E$512,E$507,E$529,E$505,E$535,E$494,E$498,E$525,E$528,E$521)-BH535)/((100-BH535)*AVERAGE(E$512,E$507,E$529,E$505,E$535,E$494,E$498,E$525,E$528,E$521)))</f>
        <v>49.591244130847656</v>
      </c>
      <c r="BV535" s="1023"/>
      <c r="BW535" s="1023">
        <v>50.5</v>
      </c>
      <c r="BX535" s="1023">
        <v>751</v>
      </c>
      <c r="BY535" s="1054">
        <f t="shared" si="828"/>
        <v>32</v>
      </c>
      <c r="BZ535" s="1054">
        <f t="shared" si="829"/>
        <v>23.3125</v>
      </c>
      <c r="CA535" s="1023">
        <v>375</v>
      </c>
      <c r="CB535" s="1057">
        <f t="shared" si="744"/>
        <v>22446.09375</v>
      </c>
      <c r="CC535" s="208">
        <f t="shared" si="830"/>
        <v>551.953125</v>
      </c>
      <c r="CD535" s="208">
        <f t="shared" si="831"/>
        <v>22.998046875</v>
      </c>
      <c r="CE535" s="230">
        <f>CC535/(AVERAGE(BY536,BY535)*(AVERAGE(D$512,D$507,D$529,D$505,D$535,D$494,D$498,D$525,D$528,D$521))*AVERAGE(E$512,E$507,E$529,E$505,E$535,E$494,E$498,E$525,E$528,E$521)*0.0001)</f>
        <v>786.36802277992092</v>
      </c>
      <c r="CF535" s="334">
        <f>(CB535-CB529)/(AVERAGE(BY529:BY535)*((AVERAGE(D$512,D$507,D$529,D$505,D$535,D$494,D$498,D$525,D$528,D$521)*AVERAGE(E$512,E$507,E$529,E$505,E$535,E$494,E$498,E$525,E$528,E$521))-(BG535*BH535))*0.0001*(SUM(C529:C535)/24))</f>
        <v>1520.3399866966204</v>
      </c>
      <c r="CG535" s="208">
        <f>CC535/(AVERAGE(BY535,BY536)*AVERAGE((D$512,D$507,D$529,D$505,D$535,D$494,D$498,D$525,D$528,D$521))*0.01)</f>
        <v>610.51046333963109</v>
      </c>
      <c r="CH535" s="855">
        <f t="shared" si="787"/>
        <v>0.73988354557640745</v>
      </c>
      <c r="CI535" s="1023"/>
      <c r="CJ535" s="1023"/>
      <c r="CK535" s="1023"/>
      <c r="CL535" s="1023"/>
      <c r="CM535" s="1023"/>
      <c r="CN535" s="1023"/>
    </row>
    <row r="536" spans="1:92">
      <c r="A536" s="1034">
        <f t="shared" si="823"/>
        <v>41691</v>
      </c>
      <c r="B536" s="1035">
        <f>B535</f>
        <v>0.33333333333333398</v>
      </c>
      <c r="C536" s="854">
        <f t="shared" si="742"/>
        <v>24</v>
      </c>
      <c r="D536" s="1044"/>
      <c r="E536" s="1044"/>
      <c r="F536" s="1044"/>
      <c r="G536" s="1044"/>
      <c r="H536" s="1044"/>
      <c r="I536" s="1044"/>
      <c r="J536" s="1044"/>
      <c r="K536" s="1044"/>
      <c r="L536" s="1044"/>
      <c r="M536" s="1044">
        <v>55</v>
      </c>
      <c r="N536" s="1044">
        <v>85</v>
      </c>
      <c r="O536" s="1044"/>
      <c r="P536" s="1044"/>
      <c r="Q536" s="1044"/>
      <c r="R536" s="1044"/>
      <c r="S536" s="1044"/>
      <c r="T536" s="1044"/>
      <c r="U536" s="1044"/>
      <c r="V536" s="1044"/>
      <c r="W536" s="1044"/>
      <c r="X536" s="1044"/>
      <c r="Y536" s="1044"/>
      <c r="Z536" s="1044"/>
      <c r="AA536" s="1044"/>
      <c r="AB536" s="1044"/>
      <c r="AC536" s="1044"/>
      <c r="AD536" s="1044"/>
      <c r="AE536" s="1044"/>
      <c r="AF536" s="1044"/>
      <c r="AG536" s="1044"/>
      <c r="AH536" s="1044"/>
      <c r="AI536" s="1044"/>
      <c r="AJ536" s="1044"/>
      <c r="AK536" s="1044"/>
      <c r="AL536" s="1044">
        <v>35.6</v>
      </c>
      <c r="AM536" s="1044">
        <v>1235</v>
      </c>
      <c r="AN536" s="208">
        <f t="shared" si="824"/>
        <v>60.480000000000004</v>
      </c>
      <c r="AO536" s="208">
        <f t="shared" si="825"/>
        <v>23.363095238095237</v>
      </c>
      <c r="AP536" s="1044">
        <v>695</v>
      </c>
      <c r="AQ536" s="1047">
        <f t="shared" si="743"/>
        <v>41277.262500000004</v>
      </c>
      <c r="AR536" s="76">
        <f t="shared" si="826"/>
        <v>1025.8968749999985</v>
      </c>
      <c r="AS536" s="230">
        <f t="shared" si="827"/>
        <v>42.745703124999942</v>
      </c>
      <c r="AT536" s="208">
        <f t="shared" ref="AT536" si="832">AR536/(AVERAGE(AN536,AN537)*(AVERAGE(D$512,D$507,D$529,D$505,D$535,D$494,D$498,D$525,D$528,D$521))*AVERAGE(E$512,E$507,E$529,E$505,E$535,E$494,E$498,E$525,E$528,E$521)*0.0001)</f>
        <v>773.33123368974111</v>
      </c>
      <c r="AU536" s="1044"/>
      <c r="AV536" s="230">
        <f t="shared" ref="AV536" si="833">AR536/(AVERAGE(AN537,AN536)*AVERAGE(D$512,D$507,D$529,D$505,D$535,D$494,D$498,D$525,D$528,D$521)*0.01)</f>
        <v>600.38912585216542</v>
      </c>
      <c r="AW536" s="855">
        <f t="shared" si="782"/>
        <v>0.72604166666666559</v>
      </c>
      <c r="AX536" s="1044"/>
      <c r="AY536" s="1044"/>
      <c r="AZ536" s="1044"/>
      <c r="BA536" s="1044"/>
      <c r="BB536" s="1044"/>
      <c r="BC536" s="1044"/>
      <c r="BD536" s="1044"/>
      <c r="BE536" s="1044"/>
      <c r="BF536" s="1044"/>
      <c r="BG536" s="1044"/>
      <c r="BH536" s="1044"/>
      <c r="BI536" s="1044"/>
      <c r="BJ536" s="1044"/>
      <c r="BK536" s="1044"/>
      <c r="BL536" s="1044"/>
      <c r="BM536" s="1044"/>
      <c r="BN536" s="1044"/>
      <c r="BO536" s="1044"/>
      <c r="BP536" s="1044"/>
      <c r="BQ536" s="1044"/>
      <c r="BR536" s="1044"/>
      <c r="BS536" s="1044"/>
      <c r="BT536" s="1044"/>
      <c r="BU536" s="1044"/>
      <c r="BV536" s="1044"/>
      <c r="BW536" s="1044">
        <v>50.5</v>
      </c>
      <c r="BX536" s="1044">
        <v>767</v>
      </c>
      <c r="BY536" s="1054">
        <f t="shared" si="828"/>
        <v>32</v>
      </c>
      <c r="BZ536" s="1054">
        <f t="shared" si="829"/>
        <v>23.3125</v>
      </c>
      <c r="CA536" s="1044">
        <v>383</v>
      </c>
      <c r="CB536" s="1047">
        <f t="shared" si="744"/>
        <v>22936.71875</v>
      </c>
      <c r="CC536" s="208">
        <f t="shared" si="830"/>
        <v>490.625</v>
      </c>
      <c r="CD536" s="208">
        <f t="shared" si="831"/>
        <v>20.442708333333332</v>
      </c>
      <c r="CE536" s="230">
        <f t="shared" ref="CE536" si="834">CC536/(AVERAGE(BY537,BY536)*(AVERAGE(D$512,D$507,D$529,D$505,D$535,D$494,D$498,D$525,D$528,D$521))*AVERAGE(E$512,E$507,E$529,E$505,E$535,E$494,E$498,E$525,E$528,E$521)*0.0001)</f>
        <v>698.99379802659632</v>
      </c>
      <c r="CF536" s="1044"/>
      <c r="CG536" s="208">
        <f>CC536/(AVERAGE(BY536,BY537)*AVERAGE((D$512,D$507,D$529,D$505,D$535,D$494,D$498,D$525,D$528,D$521))*0.01)</f>
        <v>542.67596741300542</v>
      </c>
      <c r="CH536" s="855">
        <f t="shared" si="787"/>
        <v>0.6576742627345844</v>
      </c>
      <c r="CI536" s="1044"/>
      <c r="CJ536" s="1044"/>
      <c r="CK536" s="1044"/>
      <c r="CL536" s="1044"/>
      <c r="CM536" s="1044"/>
      <c r="CN536" s="1044"/>
    </row>
    <row r="537" spans="1:92" s="337" customFormat="1">
      <c r="A537" s="1036">
        <f t="shared" si="823"/>
        <v>41692</v>
      </c>
      <c r="B537" s="1035">
        <f t="shared" ref="B537:B548" si="835">B536</f>
        <v>0.33333333333333398</v>
      </c>
      <c r="C537" s="847">
        <f t="shared" si="742"/>
        <v>24</v>
      </c>
      <c r="D537" s="1075">
        <v>3.0260108163790904</v>
      </c>
      <c r="E537" s="1075">
        <v>73.085106382978722</v>
      </c>
      <c r="F537" s="1023"/>
      <c r="G537" s="1023"/>
      <c r="H537" s="1023"/>
      <c r="I537" s="1023"/>
      <c r="J537" s="1023"/>
      <c r="K537" s="1023"/>
      <c r="L537" s="1023"/>
      <c r="M537" s="1023"/>
      <c r="N537" s="1023"/>
      <c r="O537" s="1023"/>
      <c r="P537" s="1023"/>
      <c r="Q537" s="1023"/>
      <c r="R537" s="1023"/>
      <c r="S537" s="1023"/>
      <c r="T537" s="1023"/>
      <c r="U537" s="1023"/>
      <c r="V537" s="1078">
        <v>1.7545547857326145</v>
      </c>
      <c r="W537" s="1078">
        <v>65.447897623400081</v>
      </c>
      <c r="X537" s="1023"/>
      <c r="Y537" s="1023"/>
      <c r="Z537" s="1023"/>
      <c r="AA537" s="1023"/>
      <c r="AB537" s="1023"/>
      <c r="AC537" s="1023"/>
      <c r="AD537" s="1021">
        <f>D535*(100-E535)/(100-W537)</f>
        <v>2.4745559087160056</v>
      </c>
      <c r="AE537" s="1055">
        <f>D535-V537</f>
        <v>1.3065462427005385</v>
      </c>
      <c r="AF537" s="847">
        <f>100*(AVERAGE(D$512,D$507,D$529,D$505,D$535,D$537,D$498,D$525,D$528,D$521)-V537)/AVERAGE(D$512,D$507,D$529,D$505,D$535,D$537,D$498,D$525,D$528,D$521)</f>
        <v>39.703235096384894</v>
      </c>
      <c r="AG537" s="847">
        <f>100*(1-((100-AVERAGE(E$512,E$507,E$529,E$505,E$535,E$537,E$498,E$525,E$528,E$521))/(100-W537)))</f>
        <v>32.595263162091612</v>
      </c>
      <c r="AH537" s="1055">
        <f>E535-W537</f>
        <v>6.6206135755458604</v>
      </c>
      <c r="AI537" s="847">
        <f>100*(1-((V537*W537)/(AVERAGE(D$512,D$507,D$529,D$505,D$535,D$537,D$498,D$525,D$528,D$521)*AVERAGE(E$512,E$507,E$529,E$505,E$535,E$537,E$498,E$525,E$528,E$521))))</f>
        <v>48.555809872961362</v>
      </c>
      <c r="AJ537" s="847">
        <f>100*100*((AVERAGE(E$512,E$507,E$529,E$505,E$535,E$537,E$498,E$525,E$528,E$521)-W537)/((100-W537)*AVERAGE(E$512,E$507,E$529,E$505,E$535,E$537,E$498,E$525,E$528,E$521)))</f>
        <v>42.491407243899005</v>
      </c>
      <c r="AK537" s="1023"/>
      <c r="AL537" s="1023">
        <v>35.6</v>
      </c>
      <c r="AM537" s="1023">
        <v>1263</v>
      </c>
      <c r="AN537" s="208">
        <f t="shared" si="824"/>
        <v>60.480000000000004</v>
      </c>
      <c r="AO537" s="208">
        <f t="shared" si="825"/>
        <v>23.363095238095237</v>
      </c>
      <c r="AP537" s="1023">
        <v>712</v>
      </c>
      <c r="AQ537" s="1047">
        <f t="shared" si="743"/>
        <v>42303.159375000003</v>
      </c>
      <c r="AR537" s="76">
        <f t="shared" si="826"/>
        <v>1025.8968749999985</v>
      </c>
      <c r="AS537" s="230">
        <f t="shared" si="827"/>
        <v>42.745703124999942</v>
      </c>
      <c r="AT537" s="208">
        <f>AR537/(AVERAGE(AN537,AN538)*(AVERAGE(D$512,D$507,D$529,D$505,D$535,D$537,D$498,D$525,D$528,D$521))*AVERAGE(E$512,E$507,E$529,E$505,E$535,E$537,E$498,E$525,E$528,E$521)*0.0001)</f>
        <v>759.91606390016409</v>
      </c>
      <c r="AU537" s="334">
        <f>(AQ537-AQ531)/(AVERAGE(AN531:AN537)*((AVERAGE(D$512,D$507,D$529,D$505,D$535,D$537,D$498,D$525,D$528,D$521)*AVERAGE(E$512,E$507,E$529,E$505,E$535,E$537,E$498,E$525,E$528,E$521))-(V537*W537))*0.0001*(SUM(C531:C537)/24))</f>
        <v>1512.4300649410393</v>
      </c>
      <c r="AV537" s="230">
        <f>AR537/(AVERAGE(AN538,AN537)*AVERAGE(D$512,D$507,D$529,D$505,D$535,D$537,D$498,D$525,D$528,D$521)*0.01)</f>
        <v>582.93348445133347</v>
      </c>
      <c r="AW537" s="855">
        <f t="shared" si="782"/>
        <v>0.72604166666666559</v>
      </c>
      <c r="AX537" s="1023"/>
      <c r="AY537" s="1023"/>
      <c r="AZ537" s="1023"/>
      <c r="BA537" s="1023"/>
      <c r="BB537" s="1023"/>
      <c r="BC537" s="1023"/>
      <c r="BD537" s="1023"/>
      <c r="BE537" s="1023"/>
      <c r="BF537" s="1023"/>
      <c r="BG537" s="1075">
        <v>1.7245501823181248</v>
      </c>
      <c r="BH537" s="1075">
        <v>64.991334488735049</v>
      </c>
      <c r="BI537" s="1023"/>
      <c r="BJ537" s="1023"/>
      <c r="BK537" s="1023"/>
      <c r="BL537" s="1023"/>
      <c r="BM537" s="1023"/>
      <c r="BN537" s="1023"/>
      <c r="BO537" s="847">
        <f>D535*(100-E535)/(100-BH537)</f>
        <v>2.4422841558203197</v>
      </c>
      <c r="BP537" s="1055">
        <f>D535-BG537</f>
        <v>1.3365508461150282</v>
      </c>
      <c r="BQ537" s="1056">
        <f>100*(AVERAGE(D$512,D$507,D$529,D$505,D$535,D$537,D$498,D$525,D$528,D$521)-BG537)/AVERAGE(D$512,D$507,D$529,D$505,D$535,D$537,D$498,D$525,D$528,D$521)</f>
        <v>40.734368767913004</v>
      </c>
      <c r="BR537" s="1056">
        <f>100*(1-((100-AVERAGE(E$512,E$507,E$529,E$505,E$535,E$537,E$498,E$525,E$528,E$521))/(100-BH537)))</f>
        <v>33.474317461721647</v>
      </c>
      <c r="BS537" s="1055">
        <f>E535-BH537</f>
        <v>7.0771767102108925</v>
      </c>
      <c r="BT537" s="1055">
        <f>100*(1-((BG537*BH537)/(AVERAGE(D$512,D$507,D$529,D$505,D$535,D$537,D$498,D$525,D$528,D$521)*AVERAGE(E$512,E$507,E$529,E$505,E$535,E$537,E$498,E$525,E$528,E$521))))</f>
        <v>49.788292336225794</v>
      </c>
      <c r="BU537" s="847">
        <f>100*100*((AVERAGE(E$512,E$507,E$529,E$505,E$535,E$537,E$498,E$525,E$528,E$521)-BH537)/((100-BH537)*AVERAGE(E$512,E$507,E$529,E$505,E$535,E$537,E$498,E$525,E$528,E$521)))</f>
        <v>43.637348420975336</v>
      </c>
      <c r="BV537" s="1023"/>
      <c r="BW537" s="1023">
        <v>50.5</v>
      </c>
      <c r="BX537" s="1023">
        <v>783</v>
      </c>
      <c r="BY537" s="1054">
        <f t="shared" si="828"/>
        <v>32</v>
      </c>
      <c r="BZ537" s="1054">
        <f t="shared" si="829"/>
        <v>23.3125</v>
      </c>
      <c r="CA537" s="1023">
        <v>392</v>
      </c>
      <c r="CB537" s="1057">
        <f t="shared" si="744"/>
        <v>23488.671875</v>
      </c>
      <c r="CC537" s="208">
        <f t="shared" si="830"/>
        <v>551.953125</v>
      </c>
      <c r="CD537" s="208">
        <f t="shared" si="831"/>
        <v>22.998046875</v>
      </c>
      <c r="CE537" s="230">
        <f>CC537/(AVERAGE(BY538,BY537)*(AVERAGE(D$512,D$507,D$529,D$505,D$535,D$537,D$498,D$525,D$528,D$521))*AVERAGE(E$512,E$507,E$529,E$505,E$535,E$537,E$498,E$525,E$528,E$521)*0.0001)</f>
        <v>772.72670055845344</v>
      </c>
      <c r="CF537" s="334">
        <f>(CB537-CB531)/(AVERAGE(BY531:BY537)*((AVERAGE(D$512,D$507,D$529,D$505,D$535,D$537,D$498,D$525,D$528,D$521)*AVERAGE(E$512,E$507,E$529,E$505,E$535,E$537,E$498,E$525,E$528,E$521))-(BG537*BH537))*0.0001*(SUM(C531:C537)/24))</f>
        <v>1305.6717517720292</v>
      </c>
      <c r="CG537" s="208">
        <f>CC537/(AVERAGE(BY537,BY538)*AVERAGE((D$512,D$507,D$529,D$505,D$535,D$537,D$498,D$525,D$528,D$521))*0.01)</f>
        <v>592.76055538720686</v>
      </c>
      <c r="CH537" s="855">
        <f t="shared" si="787"/>
        <v>0.73988354557640745</v>
      </c>
      <c r="CI537" s="1023"/>
      <c r="CJ537" s="1023"/>
      <c r="CK537" s="1023"/>
      <c r="CL537" s="1023"/>
      <c r="CM537" s="1023"/>
      <c r="CN537" s="1023"/>
    </row>
    <row r="538" spans="1:92">
      <c r="A538" s="1034">
        <f t="shared" si="823"/>
        <v>41693</v>
      </c>
      <c r="B538" s="1035">
        <f t="shared" si="835"/>
        <v>0.33333333333333398</v>
      </c>
      <c r="C538" s="854">
        <f t="shared" si="742"/>
        <v>24</v>
      </c>
      <c r="D538" s="1044"/>
      <c r="E538" s="1044"/>
      <c r="F538" s="1044"/>
      <c r="G538" s="1044"/>
      <c r="H538" s="1044"/>
      <c r="I538" s="1044"/>
      <c r="J538" s="1044"/>
      <c r="K538" s="1044"/>
      <c r="L538" s="1044"/>
      <c r="M538" s="1044">
        <v>55</v>
      </c>
      <c r="N538" s="1044">
        <v>85</v>
      </c>
      <c r="O538" s="1044"/>
      <c r="P538" s="1044"/>
      <c r="Q538" s="1044"/>
      <c r="R538" s="1044"/>
      <c r="S538" s="1044"/>
      <c r="T538" s="1044"/>
      <c r="U538" s="1044"/>
      <c r="V538" s="1044"/>
      <c r="W538" s="1044"/>
      <c r="X538" s="1044"/>
      <c r="Y538" s="1044"/>
      <c r="Z538" s="1044"/>
      <c r="AA538" s="1044"/>
      <c r="AB538" s="1044"/>
      <c r="AC538" s="1044"/>
      <c r="AD538" s="1044"/>
      <c r="AE538" s="1044"/>
      <c r="AF538" s="1044"/>
      <c r="AG538" s="1044"/>
      <c r="AH538" s="1044"/>
      <c r="AI538" s="1044"/>
      <c r="AJ538" s="1044"/>
      <c r="AK538" s="1044"/>
      <c r="AL538" s="1044">
        <v>35.5</v>
      </c>
      <c r="AM538" s="1044">
        <v>1291</v>
      </c>
      <c r="AN538" s="208">
        <f t="shared" si="824"/>
        <v>60.480000000000004</v>
      </c>
      <c r="AO538" s="208">
        <f t="shared" si="825"/>
        <v>23.363095238095237</v>
      </c>
      <c r="AP538" s="1044">
        <v>730</v>
      </c>
      <c r="AQ538" s="1047">
        <f t="shared" si="743"/>
        <v>43389.403125000004</v>
      </c>
      <c r="AR538" s="76">
        <f t="shared" si="826"/>
        <v>1086.2437500000015</v>
      </c>
      <c r="AS538" s="230">
        <f t="shared" si="827"/>
        <v>45.260156250000058</v>
      </c>
      <c r="AT538" s="208">
        <f t="shared" ref="AT538:AT541" si="836">AR538/(AVERAGE(AN538,AN539)*(AVERAGE(D$512,D$507,D$529,D$505,D$535,D$537,D$498,D$525,D$528,D$521))*AVERAGE(E$512,E$507,E$529,E$505,E$535,E$537,E$498,E$525,E$528,E$521)*0.0001)</f>
        <v>804.61700883547007</v>
      </c>
      <c r="AU538" s="1044"/>
      <c r="AV538" s="230">
        <f t="shared" ref="AV538:AV541" si="837">AR538/(AVERAGE(AN539,AN538)*AVERAGE(D$512,D$507,D$529,D$505,D$535,D$537,D$498,D$525,D$528,D$521)*0.01)</f>
        <v>617.22368941906063</v>
      </c>
      <c r="AW538" s="855">
        <f t="shared" si="782"/>
        <v>0.76875000000000104</v>
      </c>
      <c r="AX538" s="1044"/>
      <c r="AY538" s="1044"/>
      <c r="AZ538" s="1044"/>
      <c r="BA538" s="1044"/>
      <c r="BB538" s="1044"/>
      <c r="BC538" s="1044"/>
      <c r="BD538" s="1044"/>
      <c r="BE538" s="1044"/>
      <c r="BF538" s="1044"/>
      <c r="BG538" s="1044"/>
      <c r="BH538" s="1044"/>
      <c r="BI538" s="1044"/>
      <c r="BJ538" s="1044"/>
      <c r="BK538" s="1044"/>
      <c r="BL538" s="1044"/>
      <c r="BM538" s="1044"/>
      <c r="BN538" s="1044"/>
      <c r="BO538" s="1044"/>
      <c r="BP538" s="1044"/>
      <c r="BQ538" s="1044"/>
      <c r="BR538" s="1044"/>
      <c r="BS538" s="1044"/>
      <c r="BT538" s="1044"/>
      <c r="BU538" s="1044"/>
      <c r="BV538" s="1044"/>
      <c r="BW538" s="1044">
        <v>50.3</v>
      </c>
      <c r="BX538" s="1044">
        <v>799</v>
      </c>
      <c r="BY538" s="1054">
        <f t="shared" si="828"/>
        <v>32</v>
      </c>
      <c r="BZ538" s="1054">
        <f t="shared" si="829"/>
        <v>23.3125</v>
      </c>
      <c r="CA538" s="1044">
        <v>402</v>
      </c>
      <c r="CB538" s="1047">
        <f t="shared" si="744"/>
        <v>24101.953125</v>
      </c>
      <c r="CC538" s="208">
        <f t="shared" si="830"/>
        <v>613.28125</v>
      </c>
      <c r="CD538" s="208">
        <f t="shared" si="831"/>
        <v>25.553385416666668</v>
      </c>
      <c r="CE538" s="230">
        <f t="shared" ref="CE538:CE541" si="838">CC538/(AVERAGE(BY539,BY538)*(AVERAGE(D$512,D$507,D$529,D$505,D$535,D$537,D$498,D$525,D$528,D$521))*AVERAGE(E$512,E$507,E$529,E$505,E$535,E$537,E$498,E$525,E$528,E$521)*0.0001)</f>
        <v>858.58522284272613</v>
      </c>
      <c r="CF538" s="1044"/>
      <c r="CG538" s="208">
        <f>CC538/(AVERAGE(BY538,BY539)*AVERAGE((D$512,D$507,D$529,D$505,D$535,D$537,D$498,D$525,D$528,D$521))*0.01)</f>
        <v>658.62283931911873</v>
      </c>
      <c r="CH538" s="855">
        <f t="shared" si="787"/>
        <v>0.82209282841823061</v>
      </c>
      <c r="CI538" s="1044"/>
      <c r="CJ538" s="1044"/>
      <c r="CK538" s="1044"/>
      <c r="CL538" s="1044"/>
      <c r="CM538" s="1044"/>
      <c r="CN538" s="1044"/>
    </row>
    <row r="539" spans="1:92">
      <c r="A539" s="1034">
        <f t="shared" si="823"/>
        <v>41694</v>
      </c>
      <c r="B539" s="1035">
        <f t="shared" si="835"/>
        <v>0.33333333333333398</v>
      </c>
      <c r="C539" s="854">
        <f t="shared" si="742"/>
        <v>24</v>
      </c>
      <c r="D539" s="1044"/>
      <c r="E539" s="1044"/>
      <c r="F539" s="1044"/>
      <c r="G539" s="1044"/>
      <c r="H539" s="1044"/>
      <c r="I539" s="1044"/>
      <c r="J539" s="1044"/>
      <c r="K539" s="1044"/>
      <c r="L539" s="1044"/>
      <c r="M539" s="1044"/>
      <c r="N539" s="1044"/>
      <c r="O539" s="1044"/>
      <c r="P539" s="1044"/>
      <c r="Q539" s="1044"/>
      <c r="R539" s="1044"/>
      <c r="S539" s="1044"/>
      <c r="T539" s="1044"/>
      <c r="U539" s="1044"/>
      <c r="V539" s="1044"/>
      <c r="W539" s="1044"/>
      <c r="X539" s="1044"/>
      <c r="Y539" s="1044"/>
      <c r="Z539" s="1044"/>
      <c r="AA539" s="1044"/>
      <c r="AB539" s="1044"/>
      <c r="AC539" s="1044"/>
      <c r="AD539" s="1044"/>
      <c r="AE539" s="1044"/>
      <c r="AF539" s="1044"/>
      <c r="AG539" s="1044"/>
      <c r="AH539" s="1044"/>
      <c r="AI539" s="1044"/>
      <c r="AJ539" s="1044"/>
      <c r="AK539" s="1044"/>
      <c r="AL539" s="1044">
        <v>35.6</v>
      </c>
      <c r="AM539" s="1044">
        <v>1319</v>
      </c>
      <c r="AN539" s="208">
        <f t="shared" si="824"/>
        <v>60.480000000000004</v>
      </c>
      <c r="AO539" s="208">
        <f t="shared" si="825"/>
        <v>23.363095238095237</v>
      </c>
      <c r="AP539" s="1044">
        <v>747</v>
      </c>
      <c r="AQ539" s="1047">
        <f t="shared" si="743"/>
        <v>44415.3</v>
      </c>
      <c r="AR539" s="76">
        <f t="shared" si="826"/>
        <v>1025.8968749999985</v>
      </c>
      <c r="AS539" s="230">
        <f t="shared" si="827"/>
        <v>42.745703124999942</v>
      </c>
      <c r="AT539" s="208">
        <f t="shared" si="836"/>
        <v>759.91606390016409</v>
      </c>
      <c r="AU539" s="1044"/>
      <c r="AV539" s="230">
        <f t="shared" si="837"/>
        <v>582.93348445133347</v>
      </c>
      <c r="AW539" s="855">
        <f t="shared" si="782"/>
        <v>0.72604166666666559</v>
      </c>
      <c r="AX539" s="1044"/>
      <c r="AY539" s="1044"/>
      <c r="AZ539" s="1044"/>
      <c r="BA539" s="1044"/>
      <c r="BB539" s="1044"/>
      <c r="BC539" s="1044"/>
      <c r="BD539" s="1044"/>
      <c r="BE539" s="1044"/>
      <c r="BF539" s="1044"/>
      <c r="BG539" s="1044"/>
      <c r="BH539" s="1044"/>
      <c r="BI539" s="1044"/>
      <c r="BJ539" s="1044"/>
      <c r="BK539" s="1044"/>
      <c r="BL539" s="1044"/>
      <c r="BM539" s="1044"/>
      <c r="BN539" s="1044"/>
      <c r="BO539" s="1044"/>
      <c r="BP539" s="1044"/>
      <c r="BQ539" s="1044"/>
      <c r="BR539" s="1044"/>
      <c r="BS539" s="1044"/>
      <c r="BT539" s="1044"/>
      <c r="BU539" s="1044"/>
      <c r="BV539" s="1044"/>
      <c r="BW539" s="1044">
        <v>50.4</v>
      </c>
      <c r="BX539" s="1044">
        <v>815</v>
      </c>
      <c r="BY539" s="1054">
        <f t="shared" si="828"/>
        <v>32</v>
      </c>
      <c r="BZ539" s="1054">
        <f t="shared" si="829"/>
        <v>23.3125</v>
      </c>
      <c r="CA539" s="1044">
        <v>411</v>
      </c>
      <c r="CB539" s="1047">
        <f t="shared" si="744"/>
        <v>24653.90625</v>
      </c>
      <c r="CC539" s="208">
        <f t="shared" si="830"/>
        <v>551.953125</v>
      </c>
      <c r="CD539" s="208">
        <f t="shared" si="831"/>
        <v>22.998046875</v>
      </c>
      <c r="CE539" s="230">
        <f t="shared" si="838"/>
        <v>772.72670055845344</v>
      </c>
      <c r="CF539" s="1044"/>
      <c r="CG539" s="208">
        <f>CC539/(AVERAGE(BY539,BY540)*AVERAGE((D$512,D$507,D$529,D$505,D$535,D$537,D$498,D$525,D$528,D$521))*0.01)</f>
        <v>592.76055538720686</v>
      </c>
      <c r="CH539" s="855">
        <f t="shared" si="787"/>
        <v>0.73988354557640745</v>
      </c>
      <c r="CI539" s="1044"/>
      <c r="CJ539" s="1044"/>
      <c r="CK539" s="1044"/>
      <c r="CL539" s="1044"/>
      <c r="CM539" s="1044"/>
      <c r="CN539" s="1044"/>
    </row>
    <row r="540" spans="1:92">
      <c r="A540" s="1034">
        <f t="shared" si="823"/>
        <v>41695</v>
      </c>
      <c r="B540" s="1035">
        <f t="shared" si="835"/>
        <v>0.33333333333333398</v>
      </c>
      <c r="C540" s="854">
        <f t="shared" si="742"/>
        <v>24</v>
      </c>
      <c r="D540" s="1044"/>
      <c r="E540" s="1044"/>
      <c r="F540" s="1044"/>
      <c r="G540" s="1044"/>
      <c r="H540" s="1044"/>
      <c r="I540" s="1044"/>
      <c r="J540" s="1044"/>
      <c r="K540" s="1044"/>
      <c r="L540" s="1044"/>
      <c r="M540" s="1044">
        <v>50</v>
      </c>
      <c r="N540" s="1044">
        <v>85</v>
      </c>
      <c r="O540" s="1044"/>
      <c r="P540" s="1044"/>
      <c r="Q540" s="1044"/>
      <c r="R540" s="1044"/>
      <c r="S540" s="1044"/>
      <c r="T540" s="1044"/>
      <c r="U540" s="1044"/>
      <c r="V540" s="1044"/>
      <c r="W540" s="1044"/>
      <c r="X540" s="1044"/>
      <c r="Y540" s="1044"/>
      <c r="Z540" s="1044"/>
      <c r="AA540" s="1044"/>
      <c r="AB540" s="1044"/>
      <c r="AC540" s="1044"/>
      <c r="AD540" s="1044"/>
      <c r="AE540" s="1044"/>
      <c r="AF540" s="1044"/>
      <c r="AG540" s="1044"/>
      <c r="AH540" s="1044"/>
      <c r="AI540" s="1044"/>
      <c r="AJ540" s="1044"/>
      <c r="AK540" s="1044"/>
      <c r="AL540" s="1044">
        <v>35.5</v>
      </c>
      <c r="AM540" s="1044">
        <v>1347</v>
      </c>
      <c r="AN540" s="208">
        <f t="shared" si="824"/>
        <v>60.480000000000004</v>
      </c>
      <c r="AO540" s="208">
        <f t="shared" si="825"/>
        <v>23.363095238095237</v>
      </c>
      <c r="AP540" s="1044">
        <v>762</v>
      </c>
      <c r="AQ540" s="1047">
        <f t="shared" si="743"/>
        <v>45320.503125000003</v>
      </c>
      <c r="AR540" s="76">
        <f t="shared" si="826"/>
        <v>905.203125</v>
      </c>
      <c r="AS540" s="230">
        <f t="shared" si="827"/>
        <v>37.716796875</v>
      </c>
      <c r="AT540" s="208">
        <f t="shared" si="836"/>
        <v>670.51417402955747</v>
      </c>
      <c r="AU540" s="1044"/>
      <c r="AV540" s="230">
        <f t="shared" si="837"/>
        <v>514.35307451588312</v>
      </c>
      <c r="AW540" s="855">
        <f t="shared" si="782"/>
        <v>0.640625</v>
      </c>
      <c r="AX540" s="1044"/>
      <c r="AY540" s="1044"/>
      <c r="AZ540" s="1044"/>
      <c r="BA540" s="1044"/>
      <c r="BB540" s="1044"/>
      <c r="BC540" s="1044"/>
      <c r="BD540" s="1044"/>
      <c r="BE540" s="1044"/>
      <c r="BF540" s="1044"/>
      <c r="BG540" s="1044"/>
      <c r="BH540" s="1044"/>
      <c r="BI540" s="1044"/>
      <c r="BJ540" s="1044"/>
      <c r="BK540" s="1044"/>
      <c r="BL540" s="1044"/>
      <c r="BM540" s="1044"/>
      <c r="BN540" s="1044"/>
      <c r="BO540" s="1044"/>
      <c r="BP540" s="1044"/>
      <c r="BQ540" s="1044"/>
      <c r="BR540" s="1044"/>
      <c r="BS540" s="1044"/>
      <c r="BT540" s="1044"/>
      <c r="BU540" s="1044"/>
      <c r="BV540" s="1044"/>
      <c r="BW540" s="1044">
        <v>50.4</v>
      </c>
      <c r="BX540" s="1044">
        <v>831</v>
      </c>
      <c r="BY540" s="1054">
        <f t="shared" si="828"/>
        <v>32</v>
      </c>
      <c r="BZ540" s="1054">
        <f t="shared" si="829"/>
        <v>23.3125</v>
      </c>
      <c r="CA540" s="1044">
        <v>419</v>
      </c>
      <c r="CB540" s="1047">
        <f t="shared" si="744"/>
        <v>25144.53125</v>
      </c>
      <c r="CC540" s="208">
        <f t="shared" si="830"/>
        <v>490.625</v>
      </c>
      <c r="CD540" s="208">
        <f t="shared" si="831"/>
        <v>20.442708333333332</v>
      </c>
      <c r="CE540" s="230">
        <f t="shared" si="838"/>
        <v>686.86817827418088</v>
      </c>
      <c r="CF540" s="1044"/>
      <c r="CG540" s="208">
        <f>CC540/(AVERAGE(BY540,BY541)*AVERAGE((D$512,D$507,D$529,D$505,D$535,D$537,D$498,D$525,D$528,D$521))*0.01)</f>
        <v>526.898271455295</v>
      </c>
      <c r="CH540" s="855">
        <f t="shared" si="787"/>
        <v>0.6576742627345844</v>
      </c>
      <c r="CI540" s="1044"/>
      <c r="CJ540" s="1044"/>
      <c r="CK540" s="1044"/>
      <c r="CL540" s="1044"/>
      <c r="CM540" s="1044"/>
      <c r="CN540" s="1044"/>
    </row>
    <row r="541" spans="1:92">
      <c r="A541" s="1034">
        <f t="shared" si="823"/>
        <v>41696</v>
      </c>
      <c r="B541" s="1035">
        <f t="shared" si="835"/>
        <v>0.33333333333333398</v>
      </c>
      <c r="C541" s="854">
        <f t="shared" si="742"/>
        <v>24</v>
      </c>
      <c r="D541" s="1044"/>
      <c r="E541" s="1044"/>
      <c r="F541" s="1044"/>
      <c r="G541" s="1044"/>
      <c r="H541" s="1044"/>
      <c r="I541" s="1044"/>
      <c r="J541" s="1044"/>
      <c r="K541" s="1044"/>
      <c r="L541" s="1044"/>
      <c r="M541" s="1044"/>
      <c r="N541" s="1044"/>
      <c r="O541" s="1044"/>
      <c r="P541" s="1044"/>
      <c r="Q541" s="1044"/>
      <c r="R541" s="1044"/>
      <c r="S541" s="1044"/>
      <c r="T541" s="1044"/>
      <c r="U541" s="1044"/>
      <c r="V541" s="1044"/>
      <c r="W541" s="1044"/>
      <c r="X541" s="1044"/>
      <c r="Y541" s="1044"/>
      <c r="Z541" s="1044"/>
      <c r="AA541" s="1044"/>
      <c r="AB541" s="1044"/>
      <c r="AC541" s="1044"/>
      <c r="AD541" s="1044"/>
      <c r="AE541" s="1044"/>
      <c r="AF541" s="1044"/>
      <c r="AG541" s="1044"/>
      <c r="AH541" s="1044"/>
      <c r="AI541" s="1044"/>
      <c r="AJ541" s="1044"/>
      <c r="AK541" s="1044"/>
      <c r="AL541" s="1044">
        <v>35.6</v>
      </c>
      <c r="AM541" s="1044">
        <v>1375</v>
      </c>
      <c r="AN541" s="208">
        <f t="shared" si="824"/>
        <v>60.480000000000004</v>
      </c>
      <c r="AO541" s="208">
        <f t="shared" si="825"/>
        <v>23.363095238095237</v>
      </c>
      <c r="AP541" s="1044">
        <v>777</v>
      </c>
      <c r="AQ541" s="1047">
        <f t="shared" si="743"/>
        <v>46225.706250000003</v>
      </c>
      <c r="AR541" s="76">
        <f t="shared" si="826"/>
        <v>905.203125</v>
      </c>
      <c r="AS541" s="230">
        <f t="shared" si="827"/>
        <v>37.716796875</v>
      </c>
      <c r="AT541" s="208">
        <f t="shared" si="836"/>
        <v>670.51417402955747</v>
      </c>
      <c r="AU541" s="1044"/>
      <c r="AV541" s="230">
        <f t="shared" si="837"/>
        <v>514.35307451588312</v>
      </c>
      <c r="AW541" s="855">
        <f t="shared" si="782"/>
        <v>0.640625</v>
      </c>
      <c r="AX541" s="1044"/>
      <c r="AY541" s="1044"/>
      <c r="AZ541" s="1044"/>
      <c r="BA541" s="1044"/>
      <c r="BB541" s="1044"/>
      <c r="BC541" s="1044"/>
      <c r="BD541" s="1044"/>
      <c r="BE541" s="1044"/>
      <c r="BF541" s="1044"/>
      <c r="BG541" s="1044"/>
      <c r="BH541" s="1044"/>
      <c r="BI541" s="1044"/>
      <c r="BJ541" s="1044"/>
      <c r="BK541" s="1044"/>
      <c r="BL541" s="1044"/>
      <c r="BM541" s="1044"/>
      <c r="BN541" s="1044"/>
      <c r="BO541" s="1044"/>
      <c r="BP541" s="1044"/>
      <c r="BQ541" s="1044"/>
      <c r="BR541" s="1044"/>
      <c r="BS541" s="1044"/>
      <c r="BT541" s="1044"/>
      <c r="BU541" s="1044"/>
      <c r="BV541" s="1044"/>
      <c r="BW541" s="1044">
        <v>50.4</v>
      </c>
      <c r="BX541" s="1044">
        <v>847</v>
      </c>
      <c r="BY541" s="1054">
        <f t="shared" si="828"/>
        <v>32</v>
      </c>
      <c r="BZ541" s="1054">
        <f t="shared" si="829"/>
        <v>23.3125</v>
      </c>
      <c r="CA541" s="1044">
        <v>427</v>
      </c>
      <c r="CB541" s="1047">
        <f t="shared" si="744"/>
        <v>25635.15625</v>
      </c>
      <c r="CC541" s="208">
        <f t="shared" si="830"/>
        <v>490.625</v>
      </c>
      <c r="CD541" s="208">
        <f t="shared" si="831"/>
        <v>20.442708333333332</v>
      </c>
      <c r="CE541" s="230">
        <f t="shared" si="838"/>
        <v>686.86817827418088</v>
      </c>
      <c r="CF541" s="1044"/>
      <c r="CG541" s="208">
        <f>CC541/(AVERAGE(BY541,BY542)*AVERAGE((D$512,D$507,D$529,D$505,D$535,D$537,D$498,D$525,D$528,D$521))*0.01)</f>
        <v>526.898271455295</v>
      </c>
      <c r="CH541" s="855">
        <f t="shared" si="787"/>
        <v>0.6576742627345844</v>
      </c>
      <c r="CI541" s="1044"/>
      <c r="CJ541" s="1044"/>
      <c r="CK541" s="1044"/>
      <c r="CL541" s="1044"/>
      <c r="CM541" s="1044"/>
      <c r="CN541" s="1044"/>
    </row>
    <row r="542" spans="1:92" s="337" customFormat="1">
      <c r="A542" s="1036">
        <f t="shared" si="823"/>
        <v>41697</v>
      </c>
      <c r="B542" s="1035">
        <f t="shared" si="835"/>
        <v>0.33333333333333398</v>
      </c>
      <c r="C542" s="847">
        <f t="shared" si="742"/>
        <v>24</v>
      </c>
      <c r="D542" s="1023">
        <v>2.9</v>
      </c>
      <c r="E542" s="1023">
        <v>75.599999999999994</v>
      </c>
      <c r="F542" s="1023">
        <v>38700</v>
      </c>
      <c r="G542" s="1023"/>
      <c r="H542" s="1023"/>
      <c r="I542" s="1023">
        <v>5820</v>
      </c>
      <c r="J542" s="1023"/>
      <c r="K542" s="1023"/>
      <c r="L542" s="1023"/>
      <c r="M542" s="1023">
        <v>50</v>
      </c>
      <c r="N542" s="1023">
        <v>85</v>
      </c>
      <c r="O542" s="1023"/>
      <c r="P542" s="1023"/>
      <c r="Q542" s="1023"/>
      <c r="R542" s="1023"/>
      <c r="S542" s="1023"/>
      <c r="T542" s="1023"/>
      <c r="U542" s="1023"/>
      <c r="V542" s="1023">
        <v>1.8</v>
      </c>
      <c r="W542" s="1023">
        <v>63.4</v>
      </c>
      <c r="X542" s="1023">
        <v>20000</v>
      </c>
      <c r="Y542" s="1023"/>
      <c r="Z542" s="1023">
        <v>1295</v>
      </c>
      <c r="AA542" s="1023"/>
      <c r="AB542" s="1023"/>
      <c r="AC542" s="1023"/>
      <c r="AD542" s="1021">
        <f>D537*(100-E537)/(100-W542)</f>
        <v>2.2252666449945058</v>
      </c>
      <c r="AE542" s="1055">
        <f>D537-V542</f>
        <v>1.2260108163790904</v>
      </c>
      <c r="AF542" s="847">
        <f>100*(AVERAGE(D$512,D$507,D$529,D$505,D$535,D$537,D$542,D$525,D$528,D$521)-V542)/AVERAGE(D$512,D$507,D$529,D$505,D$535,D$537,D$542,D$525,D$528,D$521)</f>
        <v>39.145306858223002</v>
      </c>
      <c r="AG542" s="847">
        <f>100*(1-((100-AVERAGE(E$512,E$507,E$529,E$505,E$535,E$537,E$542,E$525,E$528,E$521))/(100-W542)))</f>
        <v>33.271164811716268</v>
      </c>
      <c r="AH542" s="1055">
        <f>E537-W542</f>
        <v>9.6851063829787236</v>
      </c>
      <c r="AI542" s="847">
        <f>100*(1-((V542*W542)/(AVERAGE(D$512,D$507,D$529,D$505,D$535,D$537,D$542,D$525,D$528,D$521)*AVERAGE(E$512,E$507,E$529,E$505,E$535,E$537,E$542,E$525,E$528,E$521))))</f>
        <v>48.950408582005714</v>
      </c>
      <c r="AJ542" s="847">
        <f>100*100*((AVERAGE(E$512,E$507,E$529,E$505,E$535,E$537,E$542,E$525,E$528,E$521)-W542)/((100-W542)*AVERAGE(E$512,E$507,E$529,E$505,E$535,E$537,E$542,E$525,E$528,E$521)))</f>
        <v>44.022726986326688</v>
      </c>
      <c r="AK542" s="1023"/>
      <c r="AL542" s="1023">
        <v>35.6</v>
      </c>
      <c r="AM542" s="1023">
        <v>1403</v>
      </c>
      <c r="AN542" s="208">
        <f t="shared" si="824"/>
        <v>60.480000000000004</v>
      </c>
      <c r="AO542" s="208">
        <f t="shared" si="825"/>
        <v>23.363095238095237</v>
      </c>
      <c r="AP542" s="1023">
        <v>794</v>
      </c>
      <c r="AQ542" s="1047">
        <f t="shared" si="743"/>
        <v>47251.603125000001</v>
      </c>
      <c r="AR542" s="76">
        <f t="shared" si="826"/>
        <v>1025.8968749999985</v>
      </c>
      <c r="AS542" s="230">
        <f t="shared" si="827"/>
        <v>42.745703124999942</v>
      </c>
      <c r="AT542" s="208">
        <f>AR542/(AVERAGE(AN542,AN543)*(AVERAGE(D$512,D$507,D$529,D$505,D$535,D$537,D$542,D$525,D$528,D$521))*AVERAGE(E$512,E$507,E$529,E$505,E$535,E$537,E$542,E$525,E$528,E$521)*0.0001)</f>
        <v>758.79145573794779</v>
      </c>
      <c r="AU542" s="334">
        <f>(AQ542-AQ536)/(AVERAGE(AN536:AN542)*((AVERAGE(D$512,D$507,D$529,D$505,D$535,D$537,D$542,D$525,D$528,D$521)*AVERAGE(E$512,E$507,E$529,E$505,E$535,E$537,E$542,E$525,E$528,E$521))-(V542*W542))*0.0001*(SUM(C536:C542)/24))</f>
        <v>1289.5979794042523</v>
      </c>
      <c r="AV542" s="230">
        <f>AR542/(AVERAGE(AN543,AN542)*AVERAGE(D$512,D$507,D$529,D$505,D$535,D$537,D$542,D$525,D$528,D$521)*0.01)</f>
        <v>573.47368756643948</v>
      </c>
      <c r="AW542" s="855">
        <f t="shared" si="782"/>
        <v>0.72604166666666559</v>
      </c>
      <c r="AX542" s="1023"/>
      <c r="AY542" s="1023"/>
      <c r="AZ542" s="1023"/>
      <c r="BA542" s="1023"/>
      <c r="BB542" s="1023"/>
      <c r="BC542" s="1023"/>
      <c r="BD542" s="1023"/>
      <c r="BE542" s="1023"/>
      <c r="BF542" s="1023"/>
      <c r="BG542" s="1023">
        <v>1.8</v>
      </c>
      <c r="BH542" s="1023">
        <v>62.2</v>
      </c>
      <c r="BI542" s="1023">
        <v>18000</v>
      </c>
      <c r="BJ542" s="1023"/>
      <c r="BK542" s="1023">
        <v>2338</v>
      </c>
      <c r="BL542" s="1023"/>
      <c r="BM542" s="1023"/>
      <c r="BN542" s="1023"/>
      <c r="BO542" s="847">
        <f>D537*(100-E537)/(100-BH542)</f>
        <v>2.1546232594391252</v>
      </c>
      <c r="BP542" s="1055">
        <f>D537-BG542</f>
        <v>1.2260108163790904</v>
      </c>
      <c r="BQ542" s="1056">
        <f>100*(AVERAGE(D$512,D$507,D$529,D$505,D$535,D$537,D$542,D$525,D$528,D$521)-BG542)/AVERAGE(D$512,D$507,D$529,D$505,D$535,D$537,D$542,D$525,D$528,D$521)</f>
        <v>39.145306858223002</v>
      </c>
      <c r="BR542" s="1056">
        <f>100*(1-((100-AVERAGE(E$512,E$507,E$529,E$505,E$535,E$537,E$542,E$525,E$528,E$521))/(100-BH542)))</f>
        <v>35.389540531979236</v>
      </c>
      <c r="BS542" s="1055">
        <f>E537-BH542</f>
        <v>10.885106382978719</v>
      </c>
      <c r="BT542" s="1055">
        <f>100*(1-((BG542*BH542)/(AVERAGE(D$512,D$507,D$529,D$505,D$535,D$537,D$542,D$525,D$528,D$521)*AVERAGE(E$512,E$507,E$529,E$505,E$535,E$537,E$542,E$525,E$528,E$521))))</f>
        <v>49.916646905374684</v>
      </c>
      <c r="BU542" s="847">
        <f>100*100*((AVERAGE(E$512,E$507,E$529,E$505,E$535,E$537,E$542,E$525,E$528,E$521)-BH542)/((100-BH542)*AVERAGE(E$512,E$507,E$529,E$505,E$535,E$537,E$542,E$525,E$528,E$521)))</f>
        <v>46.825654882459737</v>
      </c>
      <c r="BV542" s="1023"/>
      <c r="BW542" s="1023">
        <v>50.6</v>
      </c>
      <c r="BX542" s="1023">
        <v>863</v>
      </c>
      <c r="BY542" s="1054">
        <f t="shared" si="828"/>
        <v>32</v>
      </c>
      <c r="BZ542" s="1054">
        <f t="shared" si="829"/>
        <v>23.3125</v>
      </c>
      <c r="CA542" s="1023">
        <v>436</v>
      </c>
      <c r="CB542" s="1057">
        <f t="shared" si="744"/>
        <v>26187.109375</v>
      </c>
      <c r="CC542" s="208">
        <f t="shared" si="830"/>
        <v>551.953125</v>
      </c>
      <c r="CD542" s="208">
        <f t="shared" si="831"/>
        <v>22.998046875</v>
      </c>
      <c r="CE542" s="230">
        <f>CC542/(AVERAGE(BY543,BY542)*(AVERAGE(D$512,D$507,D$529,D$505,D$535,D$537,D$542,D$525,D$528,D$521))*AVERAGE(E$512,E$507,E$529,E$505,E$535,E$537,E$542,E$525,E$528,E$521)*0.0001)</f>
        <v>771.58313379378956</v>
      </c>
      <c r="CF542" s="334">
        <f>(CB542-CB536)/(AVERAGE(BY536:BY542)*((AVERAGE(D$512,D$507,D$529,D$505,D$535,D$537,D$542,D$525,D$528,D$521)*AVERAGE(E$512,E$507,E$529,E$505,E$535,E$537,E$542,E$525,E$528,E$521))-(BG542*BH542))*0.0001*(SUM(C536:C542)/24))</f>
        <v>1300.3870667107976</v>
      </c>
      <c r="CG542" s="208">
        <f>CC542/(AVERAGE(BY542,BY543)*AVERAGE((D$512,D$507,D$529,D$505,D$535,D$537,D$542,D$525,D$528,D$521))*0.01)</f>
        <v>583.1412855993035</v>
      </c>
      <c r="CH542" s="855">
        <f t="shared" si="787"/>
        <v>0.73988354557640745</v>
      </c>
      <c r="CI542" s="1023"/>
      <c r="CJ542" s="1023"/>
      <c r="CK542" s="1023"/>
      <c r="CL542" s="1023"/>
      <c r="CM542" s="1023"/>
      <c r="CN542" s="1023"/>
    </row>
    <row r="543" spans="1:92">
      <c r="A543" s="1034">
        <f t="shared" si="823"/>
        <v>41698</v>
      </c>
      <c r="B543" s="1035">
        <f t="shared" si="835"/>
        <v>0.33333333333333398</v>
      </c>
      <c r="C543" s="854">
        <f t="shared" si="742"/>
        <v>24</v>
      </c>
      <c r="D543" s="1044"/>
      <c r="E543" s="1044"/>
      <c r="F543" s="1044"/>
      <c r="G543" s="1044"/>
      <c r="H543" s="1044"/>
      <c r="I543" s="1044"/>
      <c r="J543" s="1044"/>
      <c r="K543" s="1044"/>
      <c r="L543" s="1044"/>
      <c r="M543" s="1044"/>
      <c r="N543" s="1044"/>
      <c r="O543" s="1044"/>
      <c r="P543" s="1044"/>
      <c r="Q543" s="1044"/>
      <c r="R543" s="1044"/>
      <c r="S543" s="1044"/>
      <c r="T543" s="1044"/>
      <c r="U543" s="1044"/>
      <c r="V543" s="1044"/>
      <c r="W543" s="1044"/>
      <c r="X543" s="1044"/>
      <c r="Y543" s="1044"/>
      <c r="Z543" s="1044"/>
      <c r="AA543" s="1044"/>
      <c r="AB543" s="1044"/>
      <c r="AC543" s="1044"/>
      <c r="AD543" s="1044"/>
      <c r="AE543" s="1044"/>
      <c r="AF543" s="1044"/>
      <c r="AG543" s="1044"/>
      <c r="AH543" s="1044"/>
      <c r="AI543" s="1044"/>
      <c r="AJ543" s="1044"/>
      <c r="AK543" s="1044"/>
      <c r="AL543" s="1044">
        <v>35.6</v>
      </c>
      <c r="AM543" s="1044">
        <v>1431</v>
      </c>
      <c r="AN543" s="208">
        <f t="shared" si="824"/>
        <v>60.480000000000004</v>
      </c>
      <c r="AO543" s="208">
        <f t="shared" si="825"/>
        <v>23.363095238095237</v>
      </c>
      <c r="AP543" s="1044">
        <v>808</v>
      </c>
      <c r="AQ543" s="1047">
        <f t="shared" si="743"/>
        <v>48096.459375000006</v>
      </c>
      <c r="AR543" s="76">
        <f t="shared" si="826"/>
        <v>844.85625000000437</v>
      </c>
      <c r="AS543" s="230">
        <f t="shared" si="827"/>
        <v>35.202343750000182</v>
      </c>
      <c r="AT543" s="208">
        <f t="shared" ref="AT543:AT548" si="839">AR543/(AVERAGE(AN543,AN544)*(AVERAGE(D$512,D$507,D$529,D$505,D$535,D$537,D$542,D$525,D$528,D$521))*AVERAGE(E$512,E$507,E$529,E$505,E$535,E$537,E$542,E$525,E$528,E$521)*0.0001)</f>
        <v>624.88708119596106</v>
      </c>
      <c r="AU543" s="1044"/>
      <c r="AV543" s="230">
        <f t="shared" ref="AV543:AV548" si="840">AR543/(AVERAGE(AN544,AN543)*AVERAGE(D$512,D$507,D$529,D$505,D$535,D$537,D$542,D$525,D$528,D$521)*0.01)</f>
        <v>472.27244858412973</v>
      </c>
      <c r="AW543" s="855">
        <f t="shared" si="782"/>
        <v>0.59791666666666976</v>
      </c>
      <c r="AX543" s="1044"/>
      <c r="AY543" s="1044"/>
      <c r="AZ543" s="1044"/>
      <c r="BA543" s="1044"/>
      <c r="BB543" s="1044"/>
      <c r="BC543" s="1044"/>
      <c r="BD543" s="1044"/>
      <c r="BE543" s="1044"/>
      <c r="BF543" s="1044"/>
      <c r="BG543" s="1044"/>
      <c r="BH543" s="1044"/>
      <c r="BI543" s="1044"/>
      <c r="BJ543" s="1044"/>
      <c r="BK543" s="1044"/>
      <c r="BL543" s="1044"/>
      <c r="BM543" s="1044"/>
      <c r="BN543" s="1044"/>
      <c r="BO543" s="1044"/>
      <c r="BP543" s="1044"/>
      <c r="BQ543" s="1044"/>
      <c r="BR543" s="1044"/>
      <c r="BS543" s="1044"/>
      <c r="BT543" s="1044"/>
      <c r="BU543" s="1044"/>
      <c r="BV543" s="1044"/>
      <c r="BW543" s="1044">
        <v>50.4</v>
      </c>
      <c r="BX543" s="1044">
        <v>879</v>
      </c>
      <c r="BY543" s="1054">
        <f t="shared" si="828"/>
        <v>32</v>
      </c>
      <c r="BZ543" s="1054">
        <f t="shared" si="829"/>
        <v>23.3125</v>
      </c>
      <c r="CA543" s="1044">
        <v>444</v>
      </c>
      <c r="CB543" s="1047">
        <f t="shared" si="744"/>
        <v>26677.734375</v>
      </c>
      <c r="CC543" s="208">
        <f t="shared" si="830"/>
        <v>490.625</v>
      </c>
      <c r="CD543" s="208">
        <f t="shared" si="831"/>
        <v>20.442708333333332</v>
      </c>
      <c r="CE543" s="230">
        <f t="shared" ref="CE543:CE548" si="841">CC543/(AVERAGE(BY544,BY543)*(AVERAGE(D$512,D$507,D$529,D$505,D$535,D$537,D$542,D$525,D$528,D$521))*AVERAGE(E$512,E$507,E$529,E$505,E$535,E$537,E$542,E$525,E$528,E$521)*0.0001)</f>
        <v>685.85167448336858</v>
      </c>
      <c r="CF543" s="1044"/>
      <c r="CG543" s="208">
        <f>CC543/(AVERAGE(BY543,BY544)*AVERAGE((D$512,D$507,D$529,D$505,D$535,D$537,D$542,D$525,D$528,D$521))*0.01)</f>
        <v>518.34780942160319</v>
      </c>
      <c r="CH543" s="855">
        <f t="shared" si="787"/>
        <v>0.6576742627345844</v>
      </c>
      <c r="CI543" s="1044"/>
      <c r="CJ543" s="1044"/>
      <c r="CK543" s="1044"/>
      <c r="CL543" s="1044"/>
      <c r="CM543" s="1044"/>
      <c r="CN543" s="1044"/>
    </row>
    <row r="544" spans="1:92">
      <c r="A544" s="1034">
        <f t="shared" si="823"/>
        <v>41699</v>
      </c>
      <c r="B544" s="1035">
        <f t="shared" si="835"/>
        <v>0.33333333333333398</v>
      </c>
      <c r="C544" s="854">
        <f t="shared" si="742"/>
        <v>24</v>
      </c>
      <c r="D544" s="1044"/>
      <c r="E544" s="1044"/>
      <c r="F544" s="1044"/>
      <c r="G544" s="1044"/>
      <c r="H544" s="1044"/>
      <c r="I544" s="1044"/>
      <c r="J544" s="1044"/>
      <c r="K544" s="1044"/>
      <c r="L544" s="1044"/>
      <c r="M544" s="1044">
        <v>50</v>
      </c>
      <c r="N544" s="1044">
        <v>85</v>
      </c>
      <c r="O544" s="1044"/>
      <c r="P544" s="1044"/>
      <c r="Q544" s="1044"/>
      <c r="R544" s="1044"/>
      <c r="S544" s="1044"/>
      <c r="T544" s="1044"/>
      <c r="U544" s="1044"/>
      <c r="V544" s="1044"/>
      <c r="W544" s="1044"/>
      <c r="X544" s="1044"/>
      <c r="Y544" s="1044"/>
      <c r="Z544" s="1044"/>
      <c r="AA544" s="1044"/>
      <c r="AB544" s="1044"/>
      <c r="AC544" s="1044"/>
      <c r="AD544" s="1044"/>
      <c r="AE544" s="1044"/>
      <c r="AF544" s="1044"/>
      <c r="AG544" s="1044"/>
      <c r="AH544" s="1044"/>
      <c r="AI544" s="1044"/>
      <c r="AJ544" s="1044"/>
      <c r="AK544" s="1044"/>
      <c r="AL544" s="1044">
        <v>35.6</v>
      </c>
      <c r="AM544" s="1044">
        <v>1459</v>
      </c>
      <c r="AN544" s="208">
        <f t="shared" si="824"/>
        <v>60.480000000000004</v>
      </c>
      <c r="AO544" s="208">
        <f t="shared" si="825"/>
        <v>23.363095238095237</v>
      </c>
      <c r="AP544" s="1044">
        <v>821</v>
      </c>
      <c r="AQ544" s="1047">
        <f t="shared" si="743"/>
        <v>48880.96875</v>
      </c>
      <c r="AR544" s="76">
        <f t="shared" si="826"/>
        <v>784.50937499999418</v>
      </c>
      <c r="AS544" s="230">
        <f t="shared" si="827"/>
        <v>32.68789062499976</v>
      </c>
      <c r="AT544" s="208">
        <f t="shared" si="839"/>
        <v>580.25228968195654</v>
      </c>
      <c r="AU544" s="1044"/>
      <c r="AV544" s="230">
        <f t="shared" si="840"/>
        <v>438.53870225668635</v>
      </c>
      <c r="AW544" s="855">
        <f t="shared" si="782"/>
        <v>0.5552083333333292</v>
      </c>
      <c r="AX544" s="1044"/>
      <c r="AY544" s="1044"/>
      <c r="AZ544" s="1044"/>
      <c r="BA544" s="1044"/>
      <c r="BB544" s="1044"/>
      <c r="BC544" s="1044"/>
      <c r="BD544" s="1044"/>
      <c r="BE544" s="1044"/>
      <c r="BF544" s="1044"/>
      <c r="BG544" s="1044"/>
      <c r="BH544" s="1044"/>
      <c r="BI544" s="1044"/>
      <c r="BJ544" s="1044"/>
      <c r="BK544" s="1044"/>
      <c r="BL544" s="1044"/>
      <c r="BM544" s="1044"/>
      <c r="BN544" s="1044"/>
      <c r="BO544" s="1044"/>
      <c r="BP544" s="1044"/>
      <c r="BQ544" s="1044"/>
      <c r="BR544" s="1044"/>
      <c r="BS544" s="1044"/>
      <c r="BT544" s="1044"/>
      <c r="BU544" s="1044"/>
      <c r="BV544" s="1044"/>
      <c r="BW544" s="1044">
        <v>50.5</v>
      </c>
      <c r="BX544" s="1044">
        <v>895</v>
      </c>
      <c r="BY544" s="1054">
        <f t="shared" si="828"/>
        <v>32</v>
      </c>
      <c r="BZ544" s="1054">
        <f t="shared" si="829"/>
        <v>23.3125</v>
      </c>
      <c r="CA544" s="1044">
        <v>451</v>
      </c>
      <c r="CB544" s="1047">
        <f t="shared" si="744"/>
        <v>27107.03125</v>
      </c>
      <c r="CC544" s="208">
        <f t="shared" si="830"/>
        <v>429.296875</v>
      </c>
      <c r="CD544" s="208">
        <f t="shared" si="831"/>
        <v>17.887369791666668</v>
      </c>
      <c r="CE544" s="230">
        <f t="shared" si="841"/>
        <v>600.1202151729475</v>
      </c>
      <c r="CF544" s="1044"/>
      <c r="CG544" s="208">
        <f>CC544/(AVERAGE(BY544,BY545)*AVERAGE((D$512,D$507,D$529,D$505,D$535,D$537,D$542,D$525,D$528,D$521))*0.01)</f>
        <v>453.55433324390276</v>
      </c>
      <c r="CH544" s="855">
        <f t="shared" si="787"/>
        <v>0.57546497989276135</v>
      </c>
      <c r="CI544" s="1044"/>
      <c r="CJ544" s="1044"/>
      <c r="CK544" s="1044"/>
      <c r="CL544" s="1044"/>
      <c r="CM544" s="1044"/>
      <c r="CN544" s="1044"/>
    </row>
    <row r="545" spans="1:92">
      <c r="A545" s="1034">
        <f t="shared" si="823"/>
        <v>41700</v>
      </c>
      <c r="B545" s="1035">
        <f t="shared" si="835"/>
        <v>0.33333333333333398</v>
      </c>
      <c r="C545" s="854">
        <f t="shared" si="742"/>
        <v>24</v>
      </c>
      <c r="D545" s="1044"/>
      <c r="E545" s="1044"/>
      <c r="F545" s="1044"/>
      <c r="G545" s="1044"/>
      <c r="H545" s="1044"/>
      <c r="I545" s="1044"/>
      <c r="J545" s="1044"/>
      <c r="K545" s="1044"/>
      <c r="L545" s="1044"/>
      <c r="M545" s="1044"/>
      <c r="N545" s="1044"/>
      <c r="O545" s="1044"/>
      <c r="P545" s="1044"/>
      <c r="Q545" s="1044"/>
      <c r="R545" s="1044"/>
      <c r="S545" s="1044"/>
      <c r="T545" s="1044"/>
      <c r="U545" s="1044"/>
      <c r="V545" s="1044"/>
      <c r="W545" s="1044"/>
      <c r="X545" s="1044"/>
      <c r="Y545" s="1044"/>
      <c r="Z545" s="1044"/>
      <c r="AA545" s="1044"/>
      <c r="AB545" s="1044"/>
      <c r="AC545" s="1044"/>
      <c r="AD545" s="1044"/>
      <c r="AE545" s="1044"/>
      <c r="AF545" s="1044"/>
      <c r="AG545" s="1044"/>
      <c r="AH545" s="1044"/>
      <c r="AI545" s="1044"/>
      <c r="AJ545" s="1044"/>
      <c r="AK545" s="1044"/>
      <c r="AL545" s="1044">
        <v>35.6</v>
      </c>
      <c r="AM545" s="1044">
        <v>1487</v>
      </c>
      <c r="AN545" s="208">
        <f t="shared" si="824"/>
        <v>60.480000000000004</v>
      </c>
      <c r="AO545" s="208">
        <f t="shared" si="825"/>
        <v>23.363095238095237</v>
      </c>
      <c r="AP545" s="1044">
        <v>835</v>
      </c>
      <c r="AQ545" s="1047">
        <f t="shared" si="743"/>
        <v>49725.825000000004</v>
      </c>
      <c r="AR545" s="76">
        <f t="shared" si="826"/>
        <v>844.85625000000437</v>
      </c>
      <c r="AS545" s="230">
        <f t="shared" si="827"/>
        <v>35.202343750000182</v>
      </c>
      <c r="AT545" s="208">
        <f t="shared" si="839"/>
        <v>624.88708119596106</v>
      </c>
      <c r="AU545" s="1044"/>
      <c r="AV545" s="230">
        <f t="shared" si="840"/>
        <v>472.27244858412973</v>
      </c>
      <c r="AW545" s="855">
        <f t="shared" si="782"/>
        <v>0.59791666666666976</v>
      </c>
      <c r="AX545" s="1044"/>
      <c r="AY545" s="1044"/>
      <c r="AZ545" s="1044"/>
      <c r="BA545" s="1044"/>
      <c r="BB545" s="1044"/>
      <c r="BC545" s="1044"/>
      <c r="BD545" s="1044"/>
      <c r="BE545" s="1044"/>
      <c r="BF545" s="1044"/>
      <c r="BG545" s="1044"/>
      <c r="BH545" s="1044"/>
      <c r="BI545" s="1044"/>
      <c r="BJ545" s="1044"/>
      <c r="BK545" s="1044"/>
      <c r="BL545" s="1044"/>
      <c r="BM545" s="1044"/>
      <c r="BN545" s="1044"/>
      <c r="BO545" s="1044"/>
      <c r="BP545" s="1044"/>
      <c r="BQ545" s="1044"/>
      <c r="BR545" s="1044"/>
      <c r="BS545" s="1044"/>
      <c r="BT545" s="1044"/>
      <c r="BU545" s="1044"/>
      <c r="BV545" s="1044"/>
      <c r="BW545" s="1044">
        <v>50.6</v>
      </c>
      <c r="BX545" s="1044">
        <v>911</v>
      </c>
      <c r="BY545" s="1054">
        <f t="shared" si="828"/>
        <v>32</v>
      </c>
      <c r="BZ545" s="1054">
        <f t="shared" si="829"/>
        <v>23.3125</v>
      </c>
      <c r="CA545" s="1044">
        <v>458</v>
      </c>
      <c r="CB545" s="1047">
        <f t="shared" si="744"/>
        <v>27536.328125</v>
      </c>
      <c r="CC545" s="208">
        <f t="shared" si="830"/>
        <v>429.296875</v>
      </c>
      <c r="CD545" s="208">
        <f t="shared" si="831"/>
        <v>17.887369791666668</v>
      </c>
      <c r="CE545" s="230">
        <f t="shared" si="841"/>
        <v>600.1202151729475</v>
      </c>
      <c r="CF545" s="1044"/>
      <c r="CG545" s="208">
        <f>CC545/(AVERAGE(BY545,BY546)*AVERAGE((D$512,D$507,D$529,D$505,D$535,D$537,D$542,D$525,D$528,D$521))*0.01)</f>
        <v>453.55433324390276</v>
      </c>
      <c r="CH545" s="855">
        <f t="shared" si="787"/>
        <v>0.57546497989276135</v>
      </c>
      <c r="CI545" s="1044"/>
      <c r="CJ545" s="1044"/>
      <c r="CK545" s="1044"/>
      <c r="CL545" s="1044"/>
      <c r="CM545" s="1044"/>
      <c r="CN545" s="1044"/>
    </row>
    <row r="546" spans="1:92">
      <c r="A546" s="1034">
        <f t="shared" si="823"/>
        <v>41701</v>
      </c>
      <c r="B546" s="1035">
        <f t="shared" si="835"/>
        <v>0.33333333333333398</v>
      </c>
      <c r="C546" s="854">
        <f t="shared" si="742"/>
        <v>24</v>
      </c>
      <c r="D546" s="1044"/>
      <c r="E546" s="1044"/>
      <c r="F546" s="1044"/>
      <c r="G546" s="1044"/>
      <c r="H546" s="1044"/>
      <c r="I546" s="1044"/>
      <c r="J546" s="1044"/>
      <c r="K546" s="1044"/>
      <c r="L546" s="1044"/>
      <c r="M546" s="1044">
        <v>58</v>
      </c>
      <c r="N546" s="1044">
        <v>85</v>
      </c>
      <c r="O546" s="1044"/>
      <c r="P546" s="1044"/>
      <c r="Q546" s="1044"/>
      <c r="R546" s="1044"/>
      <c r="S546" s="1044"/>
      <c r="T546" s="1044"/>
      <c r="U546" s="1044"/>
      <c r="V546" s="1044"/>
      <c r="W546" s="1044"/>
      <c r="X546" s="1044"/>
      <c r="Y546" s="1044"/>
      <c r="Z546" s="1044"/>
      <c r="AA546" s="1044"/>
      <c r="AB546" s="1044"/>
      <c r="AC546" s="1044"/>
      <c r="AD546" s="1044"/>
      <c r="AE546" s="1044"/>
      <c r="AF546" s="1044"/>
      <c r="AG546" s="1044"/>
      <c r="AH546" s="1044"/>
      <c r="AI546" s="1044"/>
      <c r="AJ546" s="1044"/>
      <c r="AK546" s="1044"/>
      <c r="AL546" s="1044">
        <v>35.700000000000003</v>
      </c>
      <c r="AM546" s="1044">
        <v>1515</v>
      </c>
      <c r="AN546" s="208">
        <f t="shared" si="824"/>
        <v>60.480000000000004</v>
      </c>
      <c r="AO546" s="208">
        <f t="shared" si="825"/>
        <v>23.363095238095237</v>
      </c>
      <c r="AP546" s="1044">
        <v>850</v>
      </c>
      <c r="AQ546" s="1047">
        <f t="shared" si="743"/>
        <v>50631.028125000004</v>
      </c>
      <c r="AR546" s="76">
        <f t="shared" si="826"/>
        <v>905.203125</v>
      </c>
      <c r="AS546" s="230">
        <f t="shared" si="827"/>
        <v>37.716796875</v>
      </c>
      <c r="AT546" s="208">
        <f t="shared" si="839"/>
        <v>669.52187270995489</v>
      </c>
      <c r="AU546" s="1044"/>
      <c r="AV546" s="230">
        <f t="shared" si="840"/>
        <v>506.00619491156493</v>
      </c>
      <c r="AW546" s="855">
        <f t="shared" si="782"/>
        <v>0.640625</v>
      </c>
      <c r="AX546" s="1044"/>
      <c r="AY546" s="1044"/>
      <c r="AZ546" s="1044"/>
      <c r="BA546" s="1044"/>
      <c r="BB546" s="1044"/>
      <c r="BC546" s="1044"/>
      <c r="BD546" s="1044"/>
      <c r="BE546" s="1044"/>
      <c r="BF546" s="1044"/>
      <c r="BG546" s="1044"/>
      <c r="BH546" s="1044"/>
      <c r="BI546" s="1044"/>
      <c r="BJ546" s="1044"/>
      <c r="BK546" s="1044"/>
      <c r="BL546" s="1044"/>
      <c r="BM546" s="1044"/>
      <c r="BN546" s="1044"/>
      <c r="BO546" s="1044"/>
      <c r="BP546" s="1044"/>
      <c r="BQ546" s="1044"/>
      <c r="BR546" s="1044"/>
      <c r="BS546" s="1044"/>
      <c r="BT546" s="1044"/>
      <c r="BU546" s="1044"/>
      <c r="BV546" s="1044"/>
      <c r="BW546" s="1044">
        <v>50.6</v>
      </c>
      <c r="BX546" s="1044">
        <v>927</v>
      </c>
      <c r="BY546" s="1054">
        <f t="shared" si="828"/>
        <v>32</v>
      </c>
      <c r="BZ546" s="1054">
        <f t="shared" si="829"/>
        <v>23.3125</v>
      </c>
      <c r="CA546" s="1044">
        <v>465</v>
      </c>
      <c r="CB546" s="1047">
        <f t="shared" si="744"/>
        <v>27965.625</v>
      </c>
      <c r="CC546" s="208">
        <f t="shared" si="830"/>
        <v>429.296875</v>
      </c>
      <c r="CD546" s="208">
        <f t="shared" si="831"/>
        <v>17.887369791666668</v>
      </c>
      <c r="CE546" s="230">
        <f t="shared" si="841"/>
        <v>600.1202151729475</v>
      </c>
      <c r="CF546" s="1044"/>
      <c r="CG546" s="208">
        <f>CC546/(AVERAGE(BY546,BY547)*AVERAGE((D$512,D$507,D$529,D$505,D$535,D$537,D$542,D$525,D$528,D$521))*0.01)</f>
        <v>453.55433324390276</v>
      </c>
      <c r="CH546" s="855">
        <f t="shared" si="787"/>
        <v>0.57546497989276135</v>
      </c>
      <c r="CI546" s="1044"/>
      <c r="CJ546" s="1044"/>
      <c r="CK546" s="1044"/>
      <c r="CL546" s="1044"/>
      <c r="CM546" s="1044"/>
      <c r="CN546" s="1044"/>
    </row>
    <row r="547" spans="1:92">
      <c r="A547" s="1034">
        <f t="shared" si="823"/>
        <v>41702</v>
      </c>
      <c r="B547" s="1035">
        <f t="shared" si="835"/>
        <v>0.33333333333333398</v>
      </c>
      <c r="C547" s="854">
        <f t="shared" si="742"/>
        <v>24</v>
      </c>
      <c r="D547" s="1044"/>
      <c r="E547" s="1044"/>
      <c r="F547" s="1044"/>
      <c r="G547" s="1044"/>
      <c r="H547" s="1044"/>
      <c r="I547" s="1044"/>
      <c r="J547" s="1044"/>
      <c r="K547" s="1044"/>
      <c r="L547" s="1044"/>
      <c r="M547" s="1044"/>
      <c r="N547" s="1044"/>
      <c r="O547" s="1044"/>
      <c r="P547" s="1044"/>
      <c r="Q547" s="1044"/>
      <c r="R547" s="1044"/>
      <c r="S547" s="1044"/>
      <c r="T547" s="1044"/>
      <c r="U547" s="1044"/>
      <c r="V547" s="1044"/>
      <c r="W547" s="1044"/>
      <c r="X547" s="1044"/>
      <c r="Y547" s="1044"/>
      <c r="Z547" s="1044"/>
      <c r="AA547" s="1044"/>
      <c r="AB547" s="1044"/>
      <c r="AC547" s="1044"/>
      <c r="AD547" s="1044"/>
      <c r="AE547" s="1044"/>
      <c r="AF547" s="1044"/>
      <c r="AG547" s="1044"/>
      <c r="AH547" s="1044"/>
      <c r="AI547" s="1044"/>
      <c r="AJ547" s="1044"/>
      <c r="AK547" s="1044"/>
      <c r="AL547" s="1044">
        <v>35.6</v>
      </c>
      <c r="AM547" s="1044">
        <v>1543</v>
      </c>
      <c r="AN547" s="208">
        <f t="shared" si="824"/>
        <v>60.480000000000004</v>
      </c>
      <c r="AO547" s="208">
        <f t="shared" si="825"/>
        <v>23.363095238095237</v>
      </c>
      <c r="AP547" s="1044">
        <v>863</v>
      </c>
      <c r="AQ547" s="1047">
        <f t="shared" si="743"/>
        <v>51415.537500000006</v>
      </c>
      <c r="AR547" s="76">
        <f t="shared" si="826"/>
        <v>784.50937500000146</v>
      </c>
      <c r="AS547" s="230">
        <f t="shared" si="827"/>
        <v>32.687890625000058</v>
      </c>
      <c r="AT547" s="208">
        <f t="shared" si="839"/>
        <v>580.252289681962</v>
      </c>
      <c r="AU547" s="1044"/>
      <c r="AV547" s="230">
        <f t="shared" si="840"/>
        <v>438.53870225669044</v>
      </c>
      <c r="AW547" s="855">
        <f t="shared" si="782"/>
        <v>0.55520833333333441</v>
      </c>
      <c r="AX547" s="1044"/>
      <c r="AY547" s="1044"/>
      <c r="AZ547" s="1044"/>
      <c r="BA547" s="1044"/>
      <c r="BB547" s="1044"/>
      <c r="BC547" s="1044"/>
      <c r="BD547" s="1044"/>
      <c r="BE547" s="1044"/>
      <c r="BF547" s="1044"/>
      <c r="BG547" s="1044"/>
      <c r="BH547" s="1044"/>
      <c r="BI547" s="1044"/>
      <c r="BJ547" s="1044"/>
      <c r="BK547" s="1044"/>
      <c r="BL547" s="1044"/>
      <c r="BM547" s="1044"/>
      <c r="BN547" s="1044"/>
      <c r="BO547" s="1044"/>
      <c r="BP547" s="1044"/>
      <c r="BQ547" s="1044"/>
      <c r="BR547" s="1044"/>
      <c r="BS547" s="1044"/>
      <c r="BT547" s="1044"/>
      <c r="BU547" s="1044"/>
      <c r="BV547" s="1044"/>
      <c r="BW547" s="1044">
        <v>50.7</v>
      </c>
      <c r="BX547" s="1044">
        <v>943</v>
      </c>
      <c r="BY547" s="1054">
        <f t="shared" si="828"/>
        <v>32</v>
      </c>
      <c r="BZ547" s="1054">
        <f t="shared" si="829"/>
        <v>23.3125</v>
      </c>
      <c r="CA547" s="1044">
        <v>472</v>
      </c>
      <c r="CB547" s="1047">
        <f t="shared" si="744"/>
        <v>28394.921875</v>
      </c>
      <c r="CC547" s="208">
        <f t="shared" si="830"/>
        <v>429.296875</v>
      </c>
      <c r="CD547" s="208">
        <f t="shared" si="831"/>
        <v>17.887369791666668</v>
      </c>
      <c r="CE547" s="230">
        <f t="shared" si="841"/>
        <v>600.1202151729475</v>
      </c>
      <c r="CF547" s="1044"/>
      <c r="CG547" s="208">
        <f>CC547/(AVERAGE(BY547,BY548)*AVERAGE((D$512,D$507,D$529,D$505,D$535,D$537,D$542,D$525,D$528,D$521))*0.01)</f>
        <v>453.55433324390276</v>
      </c>
      <c r="CH547" s="855">
        <f t="shared" si="787"/>
        <v>0.57546497989276135</v>
      </c>
      <c r="CI547" s="1044"/>
      <c r="CJ547" s="1044"/>
      <c r="CK547" s="1044"/>
      <c r="CL547" s="1044"/>
      <c r="CM547" s="1044"/>
      <c r="CN547" s="1044"/>
    </row>
    <row r="548" spans="1:92">
      <c r="A548" s="1034">
        <f t="shared" si="823"/>
        <v>41703</v>
      </c>
      <c r="B548" s="1035">
        <f t="shared" si="835"/>
        <v>0.33333333333333398</v>
      </c>
      <c r="C548" s="854">
        <f t="shared" si="742"/>
        <v>24</v>
      </c>
      <c r="D548" s="1044"/>
      <c r="E548" s="1044"/>
      <c r="F548" s="1044"/>
      <c r="G548" s="1044"/>
      <c r="H548" s="1044"/>
      <c r="I548" s="1044"/>
      <c r="J548" s="1044"/>
      <c r="K548" s="1044"/>
      <c r="L548" s="1044"/>
      <c r="M548" s="1044">
        <v>55</v>
      </c>
      <c r="N548" s="1044">
        <v>85</v>
      </c>
      <c r="O548" s="1044"/>
      <c r="P548" s="1044"/>
      <c r="Q548" s="1044"/>
      <c r="R548" s="1044"/>
      <c r="S548" s="1044"/>
      <c r="T548" s="1044"/>
      <c r="U548" s="1044"/>
      <c r="V548" s="1044"/>
      <c r="W548" s="1044"/>
      <c r="X548" s="1044"/>
      <c r="Y548" s="1044"/>
      <c r="Z548" s="1044"/>
      <c r="AA548" s="1044"/>
      <c r="AB548" s="1044"/>
      <c r="AC548" s="1044"/>
      <c r="AD548" s="1044"/>
      <c r="AE548" s="1044"/>
      <c r="AF548" s="1044"/>
      <c r="AG548" s="1044"/>
      <c r="AH548" s="1044"/>
      <c r="AI548" s="1044"/>
      <c r="AJ548" s="1044"/>
      <c r="AK548" s="1044"/>
      <c r="AL548" s="1044">
        <v>35.799999999999997</v>
      </c>
      <c r="AM548" s="1044">
        <v>1571</v>
      </c>
      <c r="AN548" s="208">
        <f t="shared" si="824"/>
        <v>60.480000000000004</v>
      </c>
      <c r="AO548" s="208">
        <f t="shared" si="825"/>
        <v>23.363095238095237</v>
      </c>
      <c r="AP548" s="1044">
        <v>874</v>
      </c>
      <c r="AQ548" s="1047">
        <f t="shared" si="743"/>
        <v>52079.353125000001</v>
      </c>
      <c r="AR548" s="76">
        <f t="shared" si="826"/>
        <v>663.81562499999563</v>
      </c>
      <c r="AS548" s="230">
        <f t="shared" si="827"/>
        <v>27.658984374999818</v>
      </c>
      <c r="AT548" s="208">
        <f t="shared" si="839"/>
        <v>490.9827066539637</v>
      </c>
      <c r="AU548" s="1044"/>
      <c r="AV548" s="230">
        <f t="shared" si="840"/>
        <v>371.07120960181186</v>
      </c>
      <c r="AW548" s="855">
        <f t="shared" si="782"/>
        <v>0.46979166666666355</v>
      </c>
      <c r="AX548" s="1044"/>
      <c r="AY548" s="1044"/>
      <c r="AZ548" s="1044"/>
      <c r="BA548" s="1044"/>
      <c r="BB548" s="1044"/>
      <c r="BC548" s="1044"/>
      <c r="BD548" s="1044"/>
      <c r="BE548" s="1044"/>
      <c r="BF548" s="1044"/>
      <c r="BG548" s="1044"/>
      <c r="BH548" s="1044"/>
      <c r="BI548" s="1044"/>
      <c r="BJ548" s="1044"/>
      <c r="BK548" s="1044"/>
      <c r="BL548" s="1044"/>
      <c r="BM548" s="1044"/>
      <c r="BN548" s="1044"/>
      <c r="BO548" s="1044"/>
      <c r="BP548" s="1044"/>
      <c r="BQ548" s="1044"/>
      <c r="BR548" s="1044"/>
      <c r="BS548" s="1044"/>
      <c r="BT548" s="1044"/>
      <c r="BU548" s="1044"/>
      <c r="BV548" s="1044"/>
      <c r="BW548" s="1044">
        <v>50.7</v>
      </c>
      <c r="BX548" s="1044">
        <v>959</v>
      </c>
      <c r="BY548" s="1054">
        <f t="shared" si="828"/>
        <v>32</v>
      </c>
      <c r="BZ548" s="1054">
        <f t="shared" si="829"/>
        <v>23.3125</v>
      </c>
      <c r="CA548" s="1044">
        <v>478</v>
      </c>
      <c r="CB548" s="1047">
        <f t="shared" si="744"/>
        <v>28762.890625</v>
      </c>
      <c r="CC548" s="208">
        <f t="shared" si="830"/>
        <v>367.96875</v>
      </c>
      <c r="CD548" s="208">
        <f t="shared" si="831"/>
        <v>15.33203125</v>
      </c>
      <c r="CE548" s="230">
        <f t="shared" si="841"/>
        <v>411.51100469002091</v>
      </c>
      <c r="CF548" s="1044"/>
      <c r="CG548" s="208">
        <f>CC548/(AVERAGE(BY548,BY549)*AVERAGE((D$512,D$507,D$529,D$505,D$535,D$537,D$542,D$525,D$528,D$521))*0.01)</f>
        <v>311.00868565296173</v>
      </c>
      <c r="CH548" s="855">
        <f t="shared" si="787"/>
        <v>0.49325569705093836</v>
      </c>
      <c r="CI548" s="1044"/>
      <c r="CJ548" s="1044"/>
      <c r="CK548" s="1044"/>
      <c r="CL548" s="1044"/>
      <c r="CM548" s="1044"/>
      <c r="CN548" s="1044"/>
    </row>
    <row r="549" spans="1:92" s="337" customFormat="1">
      <c r="A549" s="1036">
        <f t="shared" si="823"/>
        <v>41704</v>
      </c>
      <c r="B549" s="1037"/>
      <c r="C549" s="847">
        <f t="shared" si="742"/>
        <v>15.999999999999986</v>
      </c>
      <c r="D549" s="1023">
        <v>2.4</v>
      </c>
      <c r="E549" s="1023">
        <v>76</v>
      </c>
      <c r="F549" s="1023">
        <v>32100</v>
      </c>
      <c r="G549" s="1023"/>
      <c r="H549" s="1023">
        <v>34.299999999999997</v>
      </c>
      <c r="I549" s="1023">
        <v>3743</v>
      </c>
      <c r="J549" s="1023">
        <v>1960</v>
      </c>
      <c r="K549" s="1023">
        <v>31</v>
      </c>
      <c r="L549" s="1023">
        <v>252</v>
      </c>
      <c r="M549" s="1023"/>
      <c r="N549" s="1023"/>
      <c r="O549" s="1023"/>
      <c r="P549" s="1023"/>
      <c r="Q549" s="1023"/>
      <c r="R549" s="1023"/>
      <c r="S549" s="1023"/>
      <c r="T549" s="1023"/>
      <c r="U549" s="1023"/>
      <c r="V549" s="1023">
        <v>1.8</v>
      </c>
      <c r="W549" s="1023">
        <v>64.5</v>
      </c>
      <c r="X549" s="1023">
        <v>18200</v>
      </c>
      <c r="Y549" s="1023">
        <v>26.4</v>
      </c>
      <c r="Z549" s="1023">
        <v>1322</v>
      </c>
      <c r="AA549" s="1023">
        <v>345</v>
      </c>
      <c r="AB549" s="1023">
        <v>66</v>
      </c>
      <c r="AC549" s="1023">
        <v>191</v>
      </c>
      <c r="AD549" s="1021">
        <f>D542*(100-E542)/(100-W549)</f>
        <v>1.9932394366197188</v>
      </c>
      <c r="AE549" s="1055">
        <f>D542-V549</f>
        <v>1.0999999999999999</v>
      </c>
      <c r="AF549" s="847">
        <f>100*(AVERAGE(D$512,D$507,D$529,D$549,D$535,D$537,D$542,D$525,D$528,D$521)-V549)/AVERAGE(D$512,D$507,D$529,D$549,D$535,D$537,D$542,D$525,D$528,D$521)</f>
        <v>37.417385398660791</v>
      </c>
      <c r="AG549" s="847">
        <f>100*(1-((100-AVERAGE(E$512,E$507,E$529,E$549,E$535,E$537,E$542,E$525,E$528,E$521))/(100-W549)))</f>
        <v>31.495887176888125</v>
      </c>
      <c r="AH549" s="1055">
        <f>E542-W549</f>
        <v>11.099999999999994</v>
      </c>
      <c r="AI549" s="847">
        <f>100*(1-((V549*W549)/(AVERAGE(D$512,D$507,D$529,D$549,D$535,D$537,D$542,D$525,D$528,D$521)*AVERAGE(E$512,E$507,E$529,E$549,E$535,E$537,E$542,E$525,E$528,E$521))))</f>
        <v>46.663277294143846</v>
      </c>
      <c r="AJ549" s="847">
        <f>100*100*((AVERAGE(E$512,E$507,E$529,E$549,E$535,E$537,E$542,E$525,E$528,E$521)-W549)/((100-W549)*AVERAGE(E$512,E$507,E$529,E$549,E$535,E$537,E$542,E$525,E$528,E$521)))</f>
        <v>41.616615203245047</v>
      </c>
      <c r="AK549" s="1023"/>
      <c r="AL549" s="1023">
        <v>35.6</v>
      </c>
      <c r="AM549" s="1023">
        <v>1599</v>
      </c>
      <c r="AN549" s="208">
        <f t="shared" ref="AN549:AN554" si="842">(AM549-AM548)*AQ$1/((C548)/24)</f>
        <v>60.480000000000004</v>
      </c>
      <c r="AO549" s="208">
        <f t="shared" ref="AO549:AO554" si="843">AQ$3/AN549</f>
        <v>23.363095238095237</v>
      </c>
      <c r="AP549" s="1023">
        <v>888</v>
      </c>
      <c r="AQ549" s="1047">
        <f t="shared" si="743"/>
        <v>52924.209375000006</v>
      </c>
      <c r="AR549" s="76">
        <f t="shared" ref="AR549:AR554" si="844">(AQ549-AQ548)/(C549/24)</f>
        <v>1267.2843750000077</v>
      </c>
      <c r="AS549" s="230">
        <f t="shared" ref="AS549:AS554" si="845">(AQ549-AQ548)/C549</f>
        <v>52.803515625000323</v>
      </c>
      <c r="AT549" s="208">
        <f>AR549/(AVERAGE(AN549,AN550)*(AVERAGE(D$512,D$507,D$529,D$549,D$535,D$537,D$542,D$525,D$528,D$521))*AVERAGE(E$512,E$507,E$529,E$549,E$535,E$537,E$542,E$525,E$528,E$521)*0.0001)</f>
        <v>770.09870275623985</v>
      </c>
      <c r="AU549" s="334">
        <f>(AQ549-AQ543)/(AVERAGE(AN543:AN549)*((AVERAGE(D$512,D$507,D$529,D$549,D$535,D$537,D$542,D$525,D$528,D$521)*AVERAGE(E$512,E$507,E$529,E$549,E$535,E$537,E$542,E$525,E$528,E$521))-(V549*W549))*0.0001*(SUM(C543:C549)/24))</f>
        <v>1178.8081203584309</v>
      </c>
      <c r="AV549" s="230">
        <f>AR549/(AVERAGE(AN550,AN549)*AVERAGE(D$512,D$507,D$529,D$549,D$535,D$537,D$542,D$525,D$528,D$521)*0.01)</f>
        <v>582.81870687040305</v>
      </c>
      <c r="AW549" s="855">
        <f t="shared" si="782"/>
        <v>0.89687500000000542</v>
      </c>
      <c r="AX549" s="1023"/>
      <c r="AY549" s="1023"/>
      <c r="AZ549" s="1023"/>
      <c r="BA549" s="1023"/>
      <c r="BB549" s="1023"/>
      <c r="BC549" s="1023"/>
      <c r="BD549" s="1023"/>
      <c r="BE549" s="1023"/>
      <c r="BF549" s="1023"/>
      <c r="BG549" s="1023">
        <v>1.8</v>
      </c>
      <c r="BH549" s="1023">
        <v>64.099999999999994</v>
      </c>
      <c r="BI549" s="1023">
        <v>17800</v>
      </c>
      <c r="BJ549" s="1023">
        <v>29.5</v>
      </c>
      <c r="BK549" s="1023">
        <v>2379</v>
      </c>
      <c r="BL549" s="1023">
        <v>659</v>
      </c>
      <c r="BM549" s="1023">
        <v>66</v>
      </c>
      <c r="BN549" s="1023">
        <v>150</v>
      </c>
      <c r="BO549" s="847">
        <f>D542*(100-E542)/(100-BH549)</f>
        <v>1.9710306406685238</v>
      </c>
      <c r="BP549" s="1055">
        <f>D542-BG549</f>
        <v>1.0999999999999999</v>
      </c>
      <c r="BQ549" s="1056">
        <f>100*(AVERAGE(D$512,D$507,D$529,D$549,D$535,D$537,D$542,D$525,D$528,D$521)-BG549)/AVERAGE(D$512,D$507,D$529,D$549,D$535,D$537,D$542,D$525,D$528,D$521)</f>
        <v>37.417385398660791</v>
      </c>
      <c r="BR549" s="1056">
        <f>100*(1-((100-AVERAGE(E$512,E$507,E$529,E$549,E$535,E$537,E$542,E$525,E$528,E$521))/(100-BH549)))</f>
        <v>32.259164199986877</v>
      </c>
      <c r="BS549" s="1055">
        <f>E542-BH549</f>
        <v>11.5</v>
      </c>
      <c r="BT549" s="1055">
        <f>100*(1-((BG549*BH549)/(AVERAGE(D$512,D$507,D$529,D$549,D$535,D$537,D$542,D$525,D$528,D$521)*AVERAGE(E$512,E$507,E$529,E$549,E$535,E$537,E$542,E$525,E$528,E$521))))</f>
        <v>46.994047667513506</v>
      </c>
      <c r="BU549" s="847">
        <f>100*100*((AVERAGE(E$512,E$507,E$529,E$549,E$535,E$537,E$542,E$525,E$528,E$521)-BH549)/((100-BH549)*AVERAGE(E$512,E$507,E$529,E$549,E$535,E$537,E$542,E$525,E$528,E$521)))</f>
        <v>42.625159778775789</v>
      </c>
      <c r="BV549" s="1023"/>
      <c r="BW549" s="1023">
        <v>50.4</v>
      </c>
      <c r="BX549" s="1023">
        <v>975</v>
      </c>
      <c r="BY549" s="1054">
        <f t="shared" ref="BY549:BY554" si="846">(BX549-BX548)*CB$1/((C549)/24)</f>
        <v>48.000000000000043</v>
      </c>
      <c r="BZ549" s="1054">
        <f t="shared" ref="BZ549:BZ554" si="847">CB$3/BY549</f>
        <v>15.541666666666654</v>
      </c>
      <c r="CA549" s="1023">
        <v>485</v>
      </c>
      <c r="CB549" s="1057">
        <f t="shared" si="744"/>
        <v>29192.1875</v>
      </c>
      <c r="CC549" s="208">
        <f t="shared" ref="CC549:CC554" si="848">(CB549-CB548)/((C549/24))</f>
        <v>643.94531250000057</v>
      </c>
      <c r="CD549" s="208">
        <f t="shared" ref="CD549:CD554" si="849">(CB549-CB548)/(C549)</f>
        <v>26.831054687500025</v>
      </c>
      <c r="CE549" s="230">
        <f>CC549/(AVERAGE(BY550,BY549)*(AVERAGE(D$512,D$507,D$529,D$549,D$535,D$537,D$542,D$525,D$528,D$521))*AVERAGE(E$512,E$507,E$529,E$549,E$535,E$537,E$542,E$525,E$528,E$521)*0.0001)</f>
        <v>739.57649807382415</v>
      </c>
      <c r="CF549" s="334">
        <f>(CB549-CB543)/(AVERAGE(BY543:BY549)*((AVERAGE(D$512,D$507,D$529,D$549,D$535,D$537,D$542,D$525,D$528,D$521)*AVERAGE(E$512,E$507,E$529,E$549,E$535,E$537,E$542,E$525,E$528,E$521))-(BG549*BH549))*0.0001*(SUM(C543:C549)/24))</f>
        <v>1075.4069903902778</v>
      </c>
      <c r="CG549" s="208">
        <f>CC549/(AVERAGE(BY549,BY550)*AVERAGE((D$512,D$507,D$529,D$549,D$535,D$537,D$542,D$525,D$528,D$521))*0.01)</f>
        <v>559.71918495175623</v>
      </c>
      <c r="CH549" s="855">
        <f t="shared" si="787"/>
        <v>0.86319746983914281</v>
      </c>
      <c r="CI549" s="1023"/>
      <c r="CJ549" s="1023"/>
      <c r="CK549" s="1023"/>
      <c r="CL549" s="1023"/>
      <c r="CM549" s="1023"/>
      <c r="CN549" s="1023"/>
    </row>
    <row r="550" spans="1:92" s="337" customFormat="1">
      <c r="A550" s="1036">
        <f t="shared" si="823"/>
        <v>41705</v>
      </c>
      <c r="B550" s="1037"/>
      <c r="C550" s="847">
        <f t="shared" si="742"/>
        <v>24</v>
      </c>
      <c r="D550" s="1075">
        <v>2.5455435504737931</v>
      </c>
      <c r="E550" s="1075">
        <v>73.351648351648379</v>
      </c>
      <c r="F550" s="1023"/>
      <c r="G550" s="1023">
        <v>6.61</v>
      </c>
      <c r="H550" s="1023"/>
      <c r="I550" s="1023"/>
      <c r="J550" s="1023"/>
      <c r="K550" s="1023"/>
      <c r="L550" s="1023"/>
      <c r="M550" s="1023">
        <v>55</v>
      </c>
      <c r="N550" s="1023">
        <v>85</v>
      </c>
      <c r="O550" s="1023"/>
      <c r="P550" s="1023"/>
      <c r="Q550" s="1023"/>
      <c r="R550" s="1023"/>
      <c r="S550" s="1023"/>
      <c r="T550" s="1023"/>
      <c r="U550" s="1023"/>
      <c r="V550" s="1078">
        <v>1.7813078346699585</v>
      </c>
      <c r="W550" s="1078">
        <v>64.935064935064872</v>
      </c>
      <c r="X550" s="1023"/>
      <c r="Y550" s="1023"/>
      <c r="Z550" s="1023"/>
      <c r="AA550" s="1023"/>
      <c r="AB550" s="1023"/>
      <c r="AC550" s="1023"/>
      <c r="AD550" s="1021">
        <f>D549*(100-E549)/(100-W550)</f>
        <v>1.6426666666666636</v>
      </c>
      <c r="AE550" s="1055">
        <f>D549-V550</f>
        <v>0.61869216533004145</v>
      </c>
      <c r="AF550" s="847">
        <f>100*(AVERAGE(D$512,D$550,D$529,D$549,D$535,D$537,D$542,D$525,D$528,D$521)-V550)/AVERAGE(D$512,D$550,D$529,D$549,D$535,D$537,D$542,D$525,D$528,D$521)</f>
        <v>36.849906721749633</v>
      </c>
      <c r="AG550" s="847">
        <f>100*(1-((100-AVERAGE(E$512,E$550,E$529,E$549,E$535,E$537,E$542,E$525,E$528,E$521))/(100-W550)))</f>
        <v>29.576954381034547</v>
      </c>
      <c r="AH550" s="1055">
        <f>E549-W550</f>
        <v>11.064935064935128</v>
      </c>
      <c r="AI550" s="847">
        <f>100*(1-((V550*W550)/(AVERAGE(D$512,D$550,D$529,D$549,D$535,D$537,D$542,D$525,D$528,D$521)*AVERAGE(E$512,E$550,E$529,E$549,E$535,E$537,E$542,E$525,E$528,E$521))))</f>
        <v>45.546911844819661</v>
      </c>
      <c r="AJ550" s="847">
        <f>100*100*((AVERAGE(E$512,E$550,E$529,E$549,E$535,E$537,E$542,E$525,E$528,E$521)-W550)/((100-W550)*AVERAGE(E$512,E$550,E$529,E$549,E$535,E$537,E$542,E$525,E$528,E$521)))</f>
        <v>39.275587537943572</v>
      </c>
      <c r="AK550" s="1046">
        <v>6.98</v>
      </c>
      <c r="AL550" s="1023">
        <v>35.5</v>
      </c>
      <c r="AM550" s="1023">
        <v>1627</v>
      </c>
      <c r="AN550" s="208">
        <f t="shared" si="842"/>
        <v>90.720000000000084</v>
      </c>
      <c r="AO550" s="208">
        <f t="shared" si="843"/>
        <v>15.575396825396812</v>
      </c>
      <c r="AP550" s="1023">
        <v>903</v>
      </c>
      <c r="AQ550" s="1047">
        <f t="shared" si="743"/>
        <v>53829.412500000006</v>
      </c>
      <c r="AR550" s="76">
        <f t="shared" si="844"/>
        <v>905.203125</v>
      </c>
      <c r="AS550" s="230">
        <f t="shared" si="845"/>
        <v>37.716796875</v>
      </c>
      <c r="AT550" s="208">
        <f>AR550/(AVERAGE(AN550,AN551)*(AVERAGE(D$512,D$550,D$529,D$549,D$535,D$537,D$542,D$525,D$528,D$521))*AVERAGE(E$512,E$550,E$529,E$549,E$535,E$537,E$542,E$525,E$528,E$521)*0.0001)</f>
        <v>563.67465339820023</v>
      </c>
      <c r="AU550" s="334"/>
      <c r="AV550" s="230">
        <f>AR550/(AVERAGE(AN551,AN550)*AVERAGE(D$512,D$550,D$529,D$549,D$535,D$537,D$542,D$525,D$528,D$521)*0.01)</f>
        <v>424.48198879768938</v>
      </c>
      <c r="AW550" s="855">
        <f t="shared" si="782"/>
        <v>0.640625</v>
      </c>
      <c r="AX550" s="1023">
        <v>69.3</v>
      </c>
      <c r="AY550" s="1023">
        <v>30.2</v>
      </c>
      <c r="AZ550" s="1023">
        <v>0</v>
      </c>
      <c r="BA550" s="1023">
        <v>6</v>
      </c>
      <c r="BB550" s="1023">
        <v>50</v>
      </c>
      <c r="BC550" s="1023"/>
      <c r="BD550" s="1023"/>
      <c r="BE550" s="1023"/>
      <c r="BF550" s="1023"/>
      <c r="BG550" s="1078">
        <v>1.8382789905312844</v>
      </c>
      <c r="BH550" s="1078">
        <v>64.008620689654947</v>
      </c>
      <c r="BI550" s="1023"/>
      <c r="BJ550" s="1023"/>
      <c r="BK550" s="1023"/>
      <c r="BL550" s="1023"/>
      <c r="BM550" s="1023"/>
      <c r="BN550" s="1023"/>
      <c r="BO550" s="847">
        <f>D549*(100-E549)/(100-BH550)</f>
        <v>1.600383233532924</v>
      </c>
      <c r="BP550" s="1055">
        <f>D549-BG550</f>
        <v>0.5617210094687155</v>
      </c>
      <c r="BQ550" s="1056">
        <f>100*(AVERAGE(D$512,D$550,D$529,D$549,D$535,D$537,D$542,D$525,D$528,D$521)-BG550)/AVERAGE(D$512,D$550,D$529,D$549,D$535,D$537,D$542,D$525,D$528,D$521)</f>
        <v>34.830191916262876</v>
      </c>
      <c r="BR550" s="1056">
        <f>100*(1-((100-AVERAGE(E$512,E$550,E$529,E$549,E$535,E$537,E$542,E$525,E$528,E$521))/(100-BH550)))</f>
        <v>31.389694726308793</v>
      </c>
      <c r="BS550" s="1055">
        <f>E549-BH550</f>
        <v>11.991379310345053</v>
      </c>
      <c r="BT550" s="1055">
        <f>100*(1-((BG550*BH550)/(AVERAGE(D$512,D$550,D$529,D$549,D$535,D$537,D$542,D$525,D$528,D$521)*AVERAGE(E$512,E$550,E$529,E$549,E$535,E$537,E$542,E$525,E$528,E$521))))</f>
        <v>44.607093956308006</v>
      </c>
      <c r="BU550" s="847">
        <f>100*100*((AVERAGE(E$512,E$550,E$529,E$549,E$535,E$537,E$542,E$525,E$528,E$521)-BH550)/((100-BH550)*AVERAGE(E$512,E$550,E$529,E$549,E$535,E$537,E$542,E$525,E$528,E$521)))</f>
        <v>41.68274688224826</v>
      </c>
      <c r="BV550" s="1046">
        <v>7.1</v>
      </c>
      <c r="BW550" s="1023">
        <v>50.5</v>
      </c>
      <c r="BX550" s="1023">
        <v>991</v>
      </c>
      <c r="BY550" s="1054">
        <f t="shared" si="846"/>
        <v>32</v>
      </c>
      <c r="BZ550" s="1054">
        <f t="shared" si="847"/>
        <v>23.3125</v>
      </c>
      <c r="CA550" s="1023">
        <v>492</v>
      </c>
      <c r="CB550" s="1057">
        <f t="shared" si="744"/>
        <v>29621.484375</v>
      </c>
      <c r="CC550" s="208">
        <f t="shared" si="848"/>
        <v>429.296875</v>
      </c>
      <c r="CD550" s="208">
        <f t="shared" si="849"/>
        <v>17.887369791666668</v>
      </c>
      <c r="CE550" s="230">
        <f>CC550/(AVERAGE(BY551,BY550)*(AVERAGE(D$512,D$550,D$529,D$549,D$535,D$537,D$542,D$525,D$528,D$521))*AVERAGE(E$512,E$550,E$529,E$549,E$535,E$537,E$542,E$525,E$528,E$521)*0.0001)</f>
        <v>631.55620464584968</v>
      </c>
      <c r="CF550" s="334">
        <f>(CB550-CB544)/(AVERAGE(BY544:BY550)*((AVERAGE(D$512,D$550,D$529,D$549,D$535,D$537,D$542,D$525,D$528,D$521)*AVERAGE(E$512,E$550,E$529,E$549,E$535,E$537,E$542,E$525,E$528,E$521))-(BG550*BH550))*0.0001*(SUM(C544:C550)/24))</f>
        <v>1160.9724863871395</v>
      </c>
      <c r="CG550" s="208">
        <f>CC550/(AVERAGE(BY550,BY551)*AVERAGE((D$512,D$550,D$529,D$549,D$535,D$537,D$542,D$525,D$528,D$521))*0.01)</f>
        <v>475.60100879009434</v>
      </c>
      <c r="CH550" s="855">
        <f t="shared" si="787"/>
        <v>0.57546497989276135</v>
      </c>
      <c r="CI550" s="1023">
        <v>68.400000000000006</v>
      </c>
      <c r="CJ550" s="1023">
        <v>31.5</v>
      </c>
      <c r="CK550" s="1023">
        <v>0</v>
      </c>
      <c r="CL550" s="1023">
        <v>29</v>
      </c>
      <c r="CM550" s="1023">
        <v>150</v>
      </c>
      <c r="CN550" s="1023"/>
    </row>
    <row r="551" spans="1:92">
      <c r="A551" s="1034">
        <f t="shared" si="823"/>
        <v>41706</v>
      </c>
      <c r="B551" s="1035"/>
      <c r="C551" s="854">
        <f t="shared" si="742"/>
        <v>24</v>
      </c>
      <c r="D551" s="1044"/>
      <c r="E551" s="1044"/>
      <c r="F551" s="1044"/>
      <c r="G551" s="1044"/>
      <c r="H551" s="1044"/>
      <c r="I551" s="1044"/>
      <c r="J551" s="1044"/>
      <c r="K551" s="1044"/>
      <c r="L551" s="1044"/>
      <c r="M551" s="1044"/>
      <c r="N551" s="1044"/>
      <c r="O551" s="1044"/>
      <c r="P551" s="1044"/>
      <c r="Q551" s="1044"/>
      <c r="R551" s="1044"/>
      <c r="S551" s="1044"/>
      <c r="T551" s="1044"/>
      <c r="U551" s="1044"/>
      <c r="V551" s="1044"/>
      <c r="W551" s="1044"/>
      <c r="X551" s="1044"/>
      <c r="Y551" s="1044"/>
      <c r="Z551" s="1044"/>
      <c r="AA551" s="1044"/>
      <c r="AB551" s="1044"/>
      <c r="AC551" s="1044"/>
      <c r="AD551" s="1044"/>
      <c r="AE551" s="1044"/>
      <c r="AF551" s="1044"/>
      <c r="AG551" s="1044"/>
      <c r="AH551" s="1044"/>
      <c r="AI551" s="1044"/>
      <c r="AJ551" s="1044"/>
      <c r="AK551" s="1044"/>
      <c r="AL551" s="1044">
        <v>35.700000000000003</v>
      </c>
      <c r="AM551" s="1044">
        <v>1655</v>
      </c>
      <c r="AN551" s="208">
        <f t="shared" si="842"/>
        <v>60.480000000000004</v>
      </c>
      <c r="AO551" s="208">
        <f t="shared" si="843"/>
        <v>23.363095238095237</v>
      </c>
      <c r="AP551" s="1044">
        <v>918</v>
      </c>
      <c r="AQ551" s="1047">
        <f t="shared" si="743"/>
        <v>54734.615625000006</v>
      </c>
      <c r="AR551" s="76">
        <f t="shared" si="844"/>
        <v>905.203125</v>
      </c>
      <c r="AS551" s="230">
        <f t="shared" si="845"/>
        <v>37.716796875</v>
      </c>
      <c r="AT551" s="208">
        <f t="shared" ref="AT551:AT555" si="850">AR551/(AVERAGE(AN551,AN552)*(AVERAGE(D$512,D$550,D$529,D$549,D$535,D$537,D$542,D$525,D$528,D$521))*AVERAGE(E$512,E$550,E$529,E$549,E$535,E$537,E$542,E$525,E$528,E$521)*0.0001)</f>
        <v>704.59331674775081</v>
      </c>
      <c r="AU551" s="208"/>
      <c r="AV551" s="230">
        <f t="shared" ref="AV551:AV555" si="851">AR551/(AVERAGE(AN552,AN551)*AVERAGE(D$512,D$550,D$529,D$549,D$535,D$537,D$542,D$525,D$528,D$521)*0.01)</f>
        <v>530.60248599711213</v>
      </c>
      <c r="AW551" s="855">
        <f t="shared" si="782"/>
        <v>0.640625</v>
      </c>
      <c r="AX551" s="1044"/>
      <c r="AY551" s="1044"/>
      <c r="AZ551" s="1044"/>
      <c r="BA551" s="1044"/>
      <c r="BB551" s="1044"/>
      <c r="BC551" s="1044"/>
      <c r="BD551" s="1044"/>
      <c r="BE551" s="1044"/>
      <c r="BF551" s="1044"/>
      <c r="BG551" s="1044"/>
      <c r="BH551" s="1044"/>
      <c r="BI551" s="1044"/>
      <c r="BJ551" s="1044"/>
      <c r="BK551" s="1044"/>
      <c r="BL551" s="1044"/>
      <c r="BM551" s="1044"/>
      <c r="BN551" s="1044"/>
      <c r="BO551" s="1044"/>
      <c r="BP551" s="1044"/>
      <c r="BQ551" s="1044"/>
      <c r="BR551" s="1044"/>
      <c r="BS551" s="1044"/>
      <c r="BT551" s="1044"/>
      <c r="BU551" s="1044"/>
      <c r="BV551" s="1044"/>
      <c r="BW551" s="1044">
        <v>50.6</v>
      </c>
      <c r="BX551" s="1044">
        <v>1007</v>
      </c>
      <c r="BY551" s="1054">
        <f t="shared" si="846"/>
        <v>32</v>
      </c>
      <c r="BZ551" s="1054">
        <f t="shared" si="847"/>
        <v>23.3125</v>
      </c>
      <c r="CA551" s="1044">
        <v>499</v>
      </c>
      <c r="CB551" s="1047">
        <f t="shared" si="744"/>
        <v>30050.78125</v>
      </c>
      <c r="CC551" s="208">
        <f t="shared" si="848"/>
        <v>429.296875</v>
      </c>
      <c r="CD551" s="208">
        <f t="shared" si="849"/>
        <v>17.887369791666668</v>
      </c>
      <c r="CE551" s="230">
        <f t="shared" ref="CE551:CE555" si="852">CC551/(AVERAGE(BY552,BY551)*(AVERAGE(D$512,D$550,D$529,D$549,D$535,D$537,D$542,D$525,D$528,D$521))*AVERAGE(E$512,E$550,E$529,E$549,E$535,E$537,E$542,E$525,E$528,E$521)*0.0001)</f>
        <v>631.55620464584968</v>
      </c>
      <c r="CF551" s="208"/>
      <c r="CG551" s="208">
        <f>CC551/(AVERAGE(BY551,BY552)*AVERAGE((D$512,D$550,D$529,D$549,D$535,D$537,D$542,D$525,D$528,D$521))*0.01)</f>
        <v>475.60100879009434</v>
      </c>
      <c r="CH551" s="855">
        <f t="shared" si="787"/>
        <v>0.57546497989276135</v>
      </c>
      <c r="CI551" s="1044"/>
      <c r="CJ551" s="1044"/>
      <c r="CK551" s="1044"/>
      <c r="CL551" s="1044"/>
      <c r="CM551" s="1044"/>
      <c r="CN551" s="1044"/>
    </row>
    <row r="552" spans="1:92">
      <c r="A552" s="1034">
        <f t="shared" si="823"/>
        <v>41707</v>
      </c>
      <c r="B552" s="1035"/>
      <c r="C552" s="854">
        <f t="shared" si="742"/>
        <v>24</v>
      </c>
      <c r="D552" s="1044"/>
      <c r="E552" s="1044"/>
      <c r="F552" s="1044"/>
      <c r="G552" s="1044"/>
      <c r="H552" s="1044"/>
      <c r="I552" s="1044"/>
      <c r="J552" s="1044"/>
      <c r="K552" s="1044"/>
      <c r="L552" s="1044"/>
      <c r="M552" s="1044">
        <v>40</v>
      </c>
      <c r="N552" s="1044">
        <v>85</v>
      </c>
      <c r="O552" s="1044"/>
      <c r="P552" s="1044"/>
      <c r="Q552" s="1044"/>
      <c r="R552" s="1044"/>
      <c r="S552" s="1044"/>
      <c r="T552" s="1044"/>
      <c r="U552" s="1044"/>
      <c r="V552" s="1044"/>
      <c r="W552" s="1044"/>
      <c r="X552" s="1044"/>
      <c r="Y552" s="1044"/>
      <c r="Z552" s="1044"/>
      <c r="AA552" s="1044"/>
      <c r="AB552" s="1044"/>
      <c r="AC552" s="1044"/>
      <c r="AD552" s="1044"/>
      <c r="AE552" s="1044"/>
      <c r="AF552" s="1044"/>
      <c r="AG552" s="1044"/>
      <c r="AH552" s="1044"/>
      <c r="AI552" s="1044"/>
      <c r="AJ552" s="1044"/>
      <c r="AK552" s="1044"/>
      <c r="AL552" s="1044">
        <v>35.6</v>
      </c>
      <c r="AM552" s="1044">
        <v>1683</v>
      </c>
      <c r="AN552" s="208">
        <f t="shared" si="842"/>
        <v>60.480000000000004</v>
      </c>
      <c r="AO552" s="208">
        <f t="shared" si="843"/>
        <v>23.363095238095237</v>
      </c>
      <c r="AP552" s="1044">
        <v>933</v>
      </c>
      <c r="AQ552" s="1047">
        <f t="shared" si="743"/>
        <v>55639.818750000006</v>
      </c>
      <c r="AR552" s="76">
        <f t="shared" si="844"/>
        <v>905.203125</v>
      </c>
      <c r="AS552" s="230">
        <f t="shared" si="845"/>
        <v>37.716796875</v>
      </c>
      <c r="AT552" s="208">
        <f t="shared" si="850"/>
        <v>704.59331674775081</v>
      </c>
      <c r="AU552" s="208"/>
      <c r="AV552" s="230">
        <f t="shared" si="851"/>
        <v>530.60248599711213</v>
      </c>
      <c r="AW552" s="855">
        <f t="shared" si="782"/>
        <v>0.640625</v>
      </c>
      <c r="AX552" s="1044"/>
      <c r="AY552" s="1044"/>
      <c r="AZ552" s="1044"/>
      <c r="BA552" s="1044"/>
      <c r="BB552" s="1044"/>
      <c r="BC552" s="1044"/>
      <c r="BD552" s="1044"/>
      <c r="BE552" s="1044"/>
      <c r="BF552" s="1044"/>
      <c r="BG552" s="1044"/>
      <c r="BH552" s="1044"/>
      <c r="BI552" s="1044"/>
      <c r="BJ552" s="1044"/>
      <c r="BK552" s="1044"/>
      <c r="BL552" s="1044"/>
      <c r="BM552" s="1044"/>
      <c r="BN552" s="1044"/>
      <c r="BO552" s="1044"/>
      <c r="BP552" s="1044"/>
      <c r="BQ552" s="1044"/>
      <c r="BR552" s="1044"/>
      <c r="BS552" s="1044"/>
      <c r="BT552" s="1044"/>
      <c r="BU552" s="1044"/>
      <c r="BV552" s="1044"/>
      <c r="BW552" s="1044">
        <v>50.4</v>
      </c>
      <c r="BX552" s="1044">
        <v>1023</v>
      </c>
      <c r="BY552" s="1054">
        <f t="shared" si="846"/>
        <v>32</v>
      </c>
      <c r="BZ552" s="1054">
        <f t="shared" si="847"/>
        <v>23.3125</v>
      </c>
      <c r="CA552" s="1044">
        <v>506</v>
      </c>
      <c r="CB552" s="1047">
        <f t="shared" si="744"/>
        <v>30480.078125</v>
      </c>
      <c r="CC552" s="208">
        <f t="shared" si="848"/>
        <v>429.296875</v>
      </c>
      <c r="CD552" s="208">
        <f t="shared" si="849"/>
        <v>17.887369791666668</v>
      </c>
      <c r="CE552" s="230">
        <f t="shared" si="852"/>
        <v>631.55620464584968</v>
      </c>
      <c r="CF552" s="208"/>
      <c r="CG552" s="208">
        <f>CC552/(AVERAGE(BY552,BY553)*AVERAGE((D$512,D$550,D$529,D$549,D$535,D$537,D$542,D$525,D$528,D$521))*0.01)</f>
        <v>475.60100879009434</v>
      </c>
      <c r="CH552" s="855">
        <f t="shared" si="787"/>
        <v>0.57546497989276135</v>
      </c>
      <c r="CI552" s="1044"/>
      <c r="CJ552" s="1044"/>
      <c r="CK552" s="1044"/>
      <c r="CL552" s="1044"/>
      <c r="CM552" s="1044"/>
      <c r="CN552" s="1044"/>
    </row>
    <row r="553" spans="1:92">
      <c r="A553" s="1034">
        <f t="shared" si="823"/>
        <v>41708</v>
      </c>
      <c r="B553" s="1035"/>
      <c r="C553" s="854">
        <f t="shared" si="742"/>
        <v>24</v>
      </c>
      <c r="D553" s="1044"/>
      <c r="E553" s="1044"/>
      <c r="F553" s="1044"/>
      <c r="G553" s="1044"/>
      <c r="H553" s="1044"/>
      <c r="I553" s="1044"/>
      <c r="J553" s="1044"/>
      <c r="K553" s="1044"/>
      <c r="L553" s="1044"/>
      <c r="M553" s="1044"/>
      <c r="N553" s="1044"/>
      <c r="O553" s="1044"/>
      <c r="P553" s="1044"/>
      <c r="Q553" s="1044"/>
      <c r="R553" s="1044"/>
      <c r="S553" s="1044"/>
      <c r="T553" s="1044"/>
      <c r="U553" s="1044"/>
      <c r="V553" s="1044"/>
      <c r="W553" s="1044"/>
      <c r="X553" s="1044"/>
      <c r="Y553" s="1044"/>
      <c r="Z553" s="1044"/>
      <c r="AA553" s="1044"/>
      <c r="AB553" s="1044"/>
      <c r="AC553" s="1044"/>
      <c r="AD553" s="1044"/>
      <c r="AE553" s="1044"/>
      <c r="AF553" s="1044"/>
      <c r="AG553" s="1044"/>
      <c r="AH553" s="1044"/>
      <c r="AI553" s="1044"/>
      <c r="AJ553" s="1044"/>
      <c r="AK553" s="1044"/>
      <c r="AL553" s="1044">
        <v>35.700000000000003</v>
      </c>
      <c r="AM553" s="1044">
        <v>1711</v>
      </c>
      <c r="AN553" s="208">
        <f t="shared" si="842"/>
        <v>60.480000000000004</v>
      </c>
      <c r="AO553" s="208">
        <f t="shared" si="843"/>
        <v>23.363095238095237</v>
      </c>
      <c r="AP553" s="1044">
        <v>950</v>
      </c>
      <c r="AQ553" s="1047">
        <f t="shared" si="743"/>
        <v>56665.715625000004</v>
      </c>
      <c r="AR553" s="76">
        <f t="shared" si="844"/>
        <v>1025.8968749999985</v>
      </c>
      <c r="AS553" s="230">
        <f t="shared" si="845"/>
        <v>42.745703124999942</v>
      </c>
      <c r="AT553" s="208">
        <f t="shared" si="850"/>
        <v>798.53909231411637</v>
      </c>
      <c r="AU553" s="208"/>
      <c r="AV553" s="230">
        <f t="shared" si="851"/>
        <v>601.34948413005952</v>
      </c>
      <c r="AW553" s="855">
        <f t="shared" si="782"/>
        <v>0.72604166666666559</v>
      </c>
      <c r="AX553" s="1044"/>
      <c r="AY553" s="1044"/>
      <c r="AZ553" s="1044"/>
      <c r="BA553" s="1044"/>
      <c r="BB553" s="1044"/>
      <c r="BC553" s="1044"/>
      <c r="BD553" s="1044"/>
      <c r="BE553" s="1044"/>
      <c r="BF553" s="1044"/>
      <c r="BG553" s="1044"/>
      <c r="BH553" s="1044"/>
      <c r="BI553" s="1044"/>
      <c r="BJ553" s="1044"/>
      <c r="BK553" s="1044"/>
      <c r="BL553" s="1044"/>
      <c r="BM553" s="1044"/>
      <c r="BN553" s="1044"/>
      <c r="BO553" s="1044"/>
      <c r="BP553" s="1044"/>
      <c r="BQ553" s="1044"/>
      <c r="BR553" s="1044"/>
      <c r="BS553" s="1044"/>
      <c r="BT553" s="1044"/>
      <c r="BU553" s="1044"/>
      <c r="BV553" s="1044"/>
      <c r="BW553" s="1044">
        <v>50.5</v>
      </c>
      <c r="BX553" s="1044">
        <v>1039</v>
      </c>
      <c r="BY553" s="1054">
        <f t="shared" si="846"/>
        <v>32</v>
      </c>
      <c r="BZ553" s="1054">
        <f t="shared" si="847"/>
        <v>23.3125</v>
      </c>
      <c r="CA553" s="1044">
        <v>515</v>
      </c>
      <c r="CB553" s="1047">
        <f t="shared" si="744"/>
        <v>31032.03125</v>
      </c>
      <c r="CC553" s="208">
        <f t="shared" si="848"/>
        <v>551.953125</v>
      </c>
      <c r="CD553" s="208">
        <f t="shared" si="849"/>
        <v>22.998046875</v>
      </c>
      <c r="CE553" s="230">
        <f t="shared" si="852"/>
        <v>812.00083454466392</v>
      </c>
      <c r="CF553" s="208"/>
      <c r="CG553" s="208">
        <f>CC553/(AVERAGE(BY553,BY554)*AVERAGE((D$512,D$550,D$529,D$549,D$535,D$537,D$542,D$525,D$528,D$521))*0.01)</f>
        <v>611.48701130154984</v>
      </c>
      <c r="CH553" s="855">
        <f t="shared" si="787"/>
        <v>0.73988354557640745</v>
      </c>
      <c r="CI553" s="1044"/>
      <c r="CJ553" s="1044"/>
      <c r="CK553" s="1044"/>
      <c r="CL553" s="1044"/>
      <c r="CM553" s="1044"/>
      <c r="CN553" s="1044"/>
    </row>
    <row r="554" spans="1:92">
      <c r="A554" s="1034">
        <f t="shared" si="823"/>
        <v>41709</v>
      </c>
      <c r="B554" s="1035"/>
      <c r="C554" s="854">
        <f t="shared" ref="C554:C598" si="853">((A554-A553)+(B554-B553))*24</f>
        <v>24</v>
      </c>
      <c r="D554" s="1044"/>
      <c r="E554" s="1044"/>
      <c r="F554" s="1044"/>
      <c r="G554" s="1044"/>
      <c r="H554" s="1044"/>
      <c r="I554" s="1044"/>
      <c r="J554" s="1044"/>
      <c r="K554" s="1044"/>
      <c r="L554" s="1044"/>
      <c r="M554" s="1044">
        <v>58</v>
      </c>
      <c r="N554" s="1044">
        <v>85</v>
      </c>
      <c r="O554" s="1044"/>
      <c r="P554" s="1044"/>
      <c r="Q554" s="1044"/>
      <c r="R554" s="1044"/>
      <c r="S554" s="1044"/>
      <c r="T554" s="1044"/>
      <c r="U554" s="1044"/>
      <c r="V554" s="1044"/>
      <c r="W554" s="1044"/>
      <c r="X554" s="1044"/>
      <c r="Y554" s="1044"/>
      <c r="Z554" s="1044"/>
      <c r="AA554" s="1044"/>
      <c r="AB554" s="1044"/>
      <c r="AC554" s="1044"/>
      <c r="AD554" s="1044"/>
      <c r="AE554" s="1044"/>
      <c r="AF554" s="1044"/>
      <c r="AG554" s="1044"/>
      <c r="AH554" s="1044"/>
      <c r="AI554" s="1044"/>
      <c r="AJ554" s="1044"/>
      <c r="AK554" s="1044"/>
      <c r="AL554" s="1044">
        <v>35.700000000000003</v>
      </c>
      <c r="AM554" s="1044">
        <v>1739</v>
      </c>
      <c r="AN554" s="208">
        <f t="shared" si="842"/>
        <v>60.480000000000004</v>
      </c>
      <c r="AO554" s="208">
        <f t="shared" si="843"/>
        <v>23.363095238095237</v>
      </c>
      <c r="AP554" s="1044">
        <v>973</v>
      </c>
      <c r="AQ554" s="1047">
        <f t="shared" si="743"/>
        <v>58053.693750000006</v>
      </c>
      <c r="AR554" s="76">
        <f t="shared" si="844"/>
        <v>1387.9781250000015</v>
      </c>
      <c r="AS554" s="230">
        <f t="shared" si="845"/>
        <v>57.832421875000058</v>
      </c>
      <c r="AT554" s="208">
        <f t="shared" si="850"/>
        <v>1080.376419013219</v>
      </c>
      <c r="AU554" s="208"/>
      <c r="AV554" s="230">
        <f t="shared" si="851"/>
        <v>813.59047852890603</v>
      </c>
      <c r="AW554" s="855">
        <f t="shared" si="782"/>
        <v>0.98229166666666767</v>
      </c>
      <c r="AX554" s="1044"/>
      <c r="AY554" s="1044"/>
      <c r="AZ554" s="1044"/>
      <c r="BA554" s="1044"/>
      <c r="BB554" s="1044"/>
      <c r="BC554" s="1044"/>
      <c r="BD554" s="1044"/>
      <c r="BE554" s="1044"/>
      <c r="BF554" s="1044"/>
      <c r="BG554" s="1044"/>
      <c r="BH554" s="1044"/>
      <c r="BI554" s="1044"/>
      <c r="BJ554" s="1044"/>
      <c r="BK554" s="1044"/>
      <c r="BL554" s="1044"/>
      <c r="BM554" s="1044"/>
      <c r="BN554" s="1044"/>
      <c r="BO554" s="1044"/>
      <c r="BP554" s="1044"/>
      <c r="BQ554" s="1044"/>
      <c r="BR554" s="1044"/>
      <c r="BS554" s="1044"/>
      <c r="BT554" s="1044"/>
      <c r="BU554" s="1044"/>
      <c r="BV554" s="1044"/>
      <c r="BW554" s="1044">
        <v>50.6</v>
      </c>
      <c r="BX554" s="1044">
        <v>1055</v>
      </c>
      <c r="BY554" s="1054">
        <f t="shared" si="846"/>
        <v>32</v>
      </c>
      <c r="BZ554" s="1054">
        <f t="shared" si="847"/>
        <v>23.3125</v>
      </c>
      <c r="CA554" s="1044">
        <v>527</v>
      </c>
      <c r="CB554" s="1047">
        <f t="shared" si="744"/>
        <v>31767.96875</v>
      </c>
      <c r="CC554" s="208">
        <f t="shared" si="848"/>
        <v>735.9375</v>
      </c>
      <c r="CD554" s="208">
        <f t="shared" si="849"/>
        <v>30.6640625</v>
      </c>
      <c r="CE554" s="230">
        <f t="shared" si="852"/>
        <v>1082.6677793928852</v>
      </c>
      <c r="CF554" s="208"/>
      <c r="CG554" s="208">
        <f>CC554/(AVERAGE(BY554,BY555)*AVERAGE((D$512,D$550,D$529,D$549,D$535,D$537,D$542,D$525,D$528,D$521))*0.01)</f>
        <v>815.31601506873312</v>
      </c>
      <c r="CH554" s="855">
        <f t="shared" si="787"/>
        <v>0.98651139410187672</v>
      </c>
      <c r="CI554" s="1044"/>
      <c r="CJ554" s="1044"/>
      <c r="CK554" s="1044"/>
      <c r="CL554" s="1044"/>
      <c r="CM554" s="1044"/>
      <c r="CN554" s="1044"/>
    </row>
    <row r="555" spans="1:92">
      <c r="A555" s="1034">
        <f t="shared" si="823"/>
        <v>41710</v>
      </c>
      <c r="B555" s="1035"/>
      <c r="C555" s="854">
        <f t="shared" si="853"/>
        <v>24</v>
      </c>
      <c r="D555" s="1044"/>
      <c r="E555" s="1044"/>
      <c r="F555" s="1044"/>
      <c r="G555" s="1044"/>
      <c r="H555" s="1044"/>
      <c r="I555" s="1044"/>
      <c r="J555" s="1044"/>
      <c r="K555" s="1044"/>
      <c r="L555" s="1044"/>
      <c r="M555" s="1044"/>
      <c r="N555" s="1044"/>
      <c r="O555" s="1044"/>
      <c r="P555" s="1044"/>
      <c r="Q555" s="1044"/>
      <c r="R555" s="1044"/>
      <c r="S555" s="1044"/>
      <c r="T555" s="1044"/>
      <c r="U555" s="1044"/>
      <c r="V555" s="1044"/>
      <c r="W555" s="1044"/>
      <c r="X555" s="1044"/>
      <c r="Y555" s="1044"/>
      <c r="Z555" s="1044"/>
      <c r="AA555" s="1044"/>
      <c r="AB555" s="1044"/>
      <c r="AC555" s="1044"/>
      <c r="AD555" s="1044"/>
      <c r="AE555" s="1044"/>
      <c r="AF555" s="1044"/>
      <c r="AG555" s="1044"/>
      <c r="AH555" s="1044"/>
      <c r="AI555" s="1044"/>
      <c r="AJ555" s="1044"/>
      <c r="AK555" s="1044"/>
      <c r="AL555" s="1044">
        <v>35.5</v>
      </c>
      <c r="AM555" s="1044">
        <v>1767</v>
      </c>
      <c r="AN555" s="208">
        <f t="shared" ref="AN555:AN567" si="854">(AM555-AM554)*AQ$1/((C554)/24)</f>
        <v>60.480000000000004</v>
      </c>
      <c r="AO555" s="208">
        <f t="shared" ref="AO555:AO567" si="855">AQ$3/AN555</f>
        <v>23.363095238095237</v>
      </c>
      <c r="AP555" s="1044">
        <v>997</v>
      </c>
      <c r="AQ555" s="1047">
        <f t="shared" si="743"/>
        <v>59502.018750000003</v>
      </c>
      <c r="AR555" s="76">
        <f t="shared" ref="AR555:AR567" si="856">(AQ555-AQ554)/(C555/24)</f>
        <v>1448.3249999999971</v>
      </c>
      <c r="AS555" s="230">
        <f t="shared" ref="AS555:AS567" si="857">(AQ555-AQ554)/C555</f>
        <v>60.346874999999876</v>
      </c>
      <c r="AT555" s="208">
        <f t="shared" si="850"/>
        <v>1127.3493067963989</v>
      </c>
      <c r="AU555" s="208"/>
      <c r="AV555" s="230">
        <f t="shared" si="851"/>
        <v>848.96397759537763</v>
      </c>
      <c r="AW555" s="855">
        <f t="shared" si="782"/>
        <v>1.0249999999999979</v>
      </c>
      <c r="AX555" s="1044"/>
      <c r="AY555" s="1044"/>
      <c r="AZ555" s="1044"/>
      <c r="BA555" s="1044"/>
      <c r="BB555" s="1044"/>
      <c r="BC555" s="1044"/>
      <c r="BD555" s="1044"/>
      <c r="BE555" s="1044"/>
      <c r="BF555" s="1044"/>
      <c r="BG555" s="1044"/>
      <c r="BH555" s="1044"/>
      <c r="BI555" s="1044"/>
      <c r="BJ555" s="1044"/>
      <c r="BK555" s="1044"/>
      <c r="BL555" s="1044"/>
      <c r="BM555" s="1044"/>
      <c r="BN555" s="1044"/>
      <c r="BO555" s="1044"/>
      <c r="BP555" s="1044"/>
      <c r="BQ555" s="1044"/>
      <c r="BR555" s="1044"/>
      <c r="BS555" s="1044"/>
      <c r="BT555" s="1044"/>
      <c r="BU555" s="1044"/>
      <c r="BV555" s="1044"/>
      <c r="BW555" s="1044">
        <v>50.4</v>
      </c>
      <c r="BX555" s="1044">
        <v>1071</v>
      </c>
      <c r="BY555" s="1054">
        <f t="shared" ref="BY555:BY567" si="858">(BX555-BX554)*CB$1/((C555)/24)</f>
        <v>32</v>
      </c>
      <c r="BZ555" s="1054">
        <f t="shared" ref="BZ555:BZ567" si="859">CB$3/BY555</f>
        <v>23.3125</v>
      </c>
      <c r="CA555" s="1044">
        <v>540</v>
      </c>
      <c r="CB555" s="1047">
        <f t="shared" si="744"/>
        <v>32565.234375</v>
      </c>
      <c r="CC555" s="208">
        <f t="shared" ref="CC555:CC567" si="860">(CB555-CB554)/((C555/24))</f>
        <v>797.265625</v>
      </c>
      <c r="CD555" s="208">
        <f t="shared" ref="CD555:CD567" si="861">(CB555-CB554)/(C555)</f>
        <v>33.219401041666664</v>
      </c>
      <c r="CE555" s="230">
        <f t="shared" si="852"/>
        <v>1172.8900943422923</v>
      </c>
      <c r="CF555" s="208"/>
      <c r="CG555" s="208">
        <f>CC555/(AVERAGE(BY555,BY556)*AVERAGE((D$512,D$550,D$529,D$549,D$535,D$537,D$542,D$525,D$528,D$521))*0.01)</f>
        <v>883.25901632446096</v>
      </c>
      <c r="CH555" s="855">
        <f t="shared" si="787"/>
        <v>1.0687206769436997</v>
      </c>
      <c r="CI555" s="1044"/>
      <c r="CJ555" s="1044"/>
      <c r="CK555" s="1044"/>
      <c r="CL555" s="1044"/>
      <c r="CM555" s="1044"/>
      <c r="CN555" s="1044"/>
    </row>
    <row r="556" spans="1:92" s="337" customFormat="1">
      <c r="A556" s="1036">
        <f t="shared" si="823"/>
        <v>41711</v>
      </c>
      <c r="B556" s="1037"/>
      <c r="C556" s="847">
        <f t="shared" si="853"/>
        <v>24</v>
      </c>
      <c r="D556" s="1023">
        <v>3.2</v>
      </c>
      <c r="E556" s="1023">
        <v>77.8</v>
      </c>
      <c r="F556" s="1023">
        <v>42200</v>
      </c>
      <c r="G556" s="1046">
        <v>6.05</v>
      </c>
      <c r="H556" s="1023"/>
      <c r="I556" s="1023">
        <v>6100</v>
      </c>
      <c r="J556" s="1023"/>
      <c r="K556" s="1023"/>
      <c r="L556" s="1023"/>
      <c r="M556" s="1023">
        <v>50</v>
      </c>
      <c r="N556" s="1023"/>
      <c r="O556" s="1023"/>
      <c r="P556" s="1023"/>
      <c r="Q556" s="1023"/>
      <c r="R556" s="1023"/>
      <c r="S556" s="1023"/>
      <c r="T556" s="1023"/>
      <c r="U556" s="1023"/>
      <c r="V556" s="1023">
        <v>1.8</v>
      </c>
      <c r="W556" s="1023">
        <v>64.3</v>
      </c>
      <c r="X556" s="1023">
        <v>21200</v>
      </c>
      <c r="Y556" s="1023"/>
      <c r="Z556" s="1023">
        <v>1404</v>
      </c>
      <c r="AA556" s="1023"/>
      <c r="AB556" s="1023"/>
      <c r="AC556" s="1023"/>
      <c r="AD556" s="1021">
        <f>D550*(100-E550)/(100-W556)</f>
        <v>1.9001271616027768</v>
      </c>
      <c r="AE556" s="1055">
        <f>D550-V556</f>
        <v>0.74554355047379306</v>
      </c>
      <c r="AF556" s="847">
        <f>100*(AVERAGE(D$556,D$550,D$529,D$549,D$535,D$537,D$542,D$525,D$528,D$521)-V556)/AVERAGE(D$556,D$550,D$529,D$549,D$535,D$537,D$542,D$525,D$528,D$521)</f>
        <v>37.862305076441856</v>
      </c>
      <c r="AG556" s="847">
        <f>100*(1-((100-AVERAGE(E$556,E$550,E$529,E$549,E$535,E$537,E$542,E$525,E$528,E$521))/(100-W556)))</f>
        <v>30.485082576834234</v>
      </c>
      <c r="AH556" s="1055">
        <f>E550-W556</f>
        <v>9.0516483516483817</v>
      </c>
      <c r="AI556" s="847">
        <f>100*(1-((V556*W556)/(AVERAGE(D$556,D$550,D$529,D$549,D$535,D$537,D$542,D$525,D$528,D$521)*AVERAGE(E$556,E$550,E$529,E$549,E$535,E$537,E$542,E$525,E$528,E$521))))</f>
        <v>46.857075253567849</v>
      </c>
      <c r="AJ556" s="847">
        <f>100*100*((AVERAGE(E$556,E$550,E$529,E$549,E$535,E$537,E$542,E$525,E$528,E$521)-W556)/((100-W556)*AVERAGE(E$556,E$550,E$529,E$549,E$535,E$537,E$542,E$525,E$528,E$521)))</f>
        <v>40.547745938783464</v>
      </c>
      <c r="AK556" s="1046">
        <v>7.01</v>
      </c>
      <c r="AL556" s="1023">
        <v>35.5</v>
      </c>
      <c r="AM556" s="1023">
        <v>1795</v>
      </c>
      <c r="AN556" s="597">
        <f t="shared" si="854"/>
        <v>60.480000000000004</v>
      </c>
      <c r="AO556" s="597">
        <f t="shared" si="855"/>
        <v>23.363095238095237</v>
      </c>
      <c r="AP556" s="1082">
        <v>1019</v>
      </c>
      <c r="AQ556" s="1083">
        <f t="shared" si="743"/>
        <v>60829.65</v>
      </c>
      <c r="AR556" s="580">
        <f t="shared" si="856"/>
        <v>1327.6312499999985</v>
      </c>
      <c r="AS556" s="591">
        <f t="shared" si="857"/>
        <v>55.317968749999942</v>
      </c>
      <c r="AT556" s="597">
        <f>AR556/(AVERAGE(AN556,AN557)*(AVERAGE(D$556,D$550,D$529,D$549,D$535,D$537,D$542,D$525,D$528,D$521))*AVERAGE(E$556,E$550,E$529,E$549,E$535,E$537,E$542,E$525,E$528,E$521)*0.0001)</f>
        <v>1007.9237022797171</v>
      </c>
      <c r="AU556" s="597">
        <f>(AQ556-AQ550)/(AVERAGE(AN550:AN556)*((AVERAGE(D$556,D$550,D$529,D$549,D$535,D$537,D$542,D$525,D$528,D$521)*AVERAGE(E$556,E$550,E$529,E$549,E$535,E$537,E$542,E$525,E$528,E$521))-(V556*W556))*0.0001*(SUM(C550:C556)/24))</f>
        <v>1512.2602125944245</v>
      </c>
      <c r="AV556" s="591">
        <f>AR556/(AVERAGE(AN557,AN556)*AVERAGE(D$556,D$550,D$529,D$549,D$535,D$537,D$542,D$525,D$528,D$521)*0.01)</f>
        <v>757.78903570952798</v>
      </c>
      <c r="AW556" s="1085">
        <f t="shared" si="782"/>
        <v>0.93958333333333233</v>
      </c>
      <c r="AX556" s="1023">
        <v>66.099999999999994</v>
      </c>
      <c r="AY556" s="1023">
        <v>33.799999999999997</v>
      </c>
      <c r="AZ556" s="1023">
        <v>0</v>
      </c>
      <c r="BA556" s="1023">
        <v>11</v>
      </c>
      <c r="BB556" s="1023">
        <v>45</v>
      </c>
      <c r="BC556" s="1023"/>
      <c r="BD556" s="1023"/>
      <c r="BE556" s="1023"/>
      <c r="BF556" s="1023"/>
      <c r="BG556" s="1023">
        <v>1.8</v>
      </c>
      <c r="BH556" s="1023">
        <v>63.6</v>
      </c>
      <c r="BI556" s="1023">
        <v>18300</v>
      </c>
      <c r="BJ556" s="1023"/>
      <c r="BK556" s="1023">
        <v>2501</v>
      </c>
      <c r="BL556" s="1023"/>
      <c r="BM556" s="1023"/>
      <c r="BN556" s="1023"/>
      <c r="BO556" s="847">
        <f>D550*(100-E550)/(100-BH556)</f>
        <v>1.8635862546488775</v>
      </c>
      <c r="BP556" s="1055">
        <f>D550-BG556</f>
        <v>0.74554355047379306</v>
      </c>
      <c r="BQ556" s="1056">
        <f>100*(AVERAGE(D$556,D$550,D$529,D$549,D$535,D$537,D$542,D$525,D$528,D$521)-BG556)/AVERAGE(D$556,D$550,D$529,D$549,D$535,D$537,D$542,D$525,D$528,D$521)</f>
        <v>37.862305076441856</v>
      </c>
      <c r="BR556" s="1056">
        <f>100*(1-((100-AVERAGE(E$556,E$550,E$529,E$549,E$535,E$537,E$542,E$525,E$528,E$521))/(100-BH556)))</f>
        <v>31.821907911895096</v>
      </c>
      <c r="BS556" s="1055">
        <f>E550-BH556</f>
        <v>9.7516483516483774</v>
      </c>
      <c r="BT556" s="1055">
        <f>100*(1-((BG556*BH556)/(AVERAGE(D$556,D$550,D$529,D$549,D$535,D$537,D$542,D$525,D$528,D$521)*AVERAGE(E$556,E$550,E$529,E$549,E$535,E$537,E$542,E$525,E$528,E$521))))</f>
        <v>47.435614092175967</v>
      </c>
      <c r="BU556" s="847">
        <f>100*100*((AVERAGE(E$556,E$550,E$529,E$549,E$535,E$537,E$542,E$525,E$528,E$521)-BH556)/((100-BH556)*AVERAGE(E$556,E$550,E$529,E$549,E$535,E$537,E$542,E$525,E$528,E$521)))</f>
        <v>42.325837040028119</v>
      </c>
      <c r="BV556" s="1046">
        <v>7.18</v>
      </c>
      <c r="BW556" s="1023">
        <v>50.4</v>
      </c>
      <c r="BX556" s="1023">
        <v>1087</v>
      </c>
      <c r="BY556" s="1054">
        <f t="shared" si="858"/>
        <v>32</v>
      </c>
      <c r="BZ556" s="1054">
        <f t="shared" si="859"/>
        <v>23.3125</v>
      </c>
      <c r="CA556" s="1023">
        <v>551</v>
      </c>
      <c r="CB556" s="1057">
        <f t="shared" si="744"/>
        <v>33239.84375</v>
      </c>
      <c r="CC556" s="208">
        <f t="shared" si="860"/>
        <v>674.609375</v>
      </c>
      <c r="CD556" s="208">
        <f t="shared" si="861"/>
        <v>28.108723958333332</v>
      </c>
      <c r="CE556" s="230">
        <f>CC556/(AVERAGE(BY557,BY556)*(AVERAGE(D$556,D$550,D$529,D$549,D$535,D$537,D$542,D$525,D$528,D$521))*AVERAGE(E$556,E$550,E$529,E$549,E$535,E$537,E$542,E$525,E$528,E$521)*0.0001)</f>
        <v>967.97550676253422</v>
      </c>
      <c r="CF556" s="334">
        <f>(CB556-CB550)/(AVERAGE(BY550:BY556)*((AVERAGE(D$556,D$550,D$529,D$549,D$535,D$537,D$542,D$525,D$528,D$521)*AVERAGE(E$556,E$550,E$529,E$549,E$535,E$537,E$542,E$525,E$528,E$521))-(BG556*BH556))*0.0001*(SUM(C550:C556)/24))</f>
        <v>1563.5836751843174</v>
      </c>
      <c r="CG556" s="208">
        <f>CC556/(AVERAGE(BY556,BY557)*AVERAGE((D$556,D$550,D$529,D$549,D$535,D$537,D$542,D$525,D$528,D$521))*0.01)</f>
        <v>727.75471417226095</v>
      </c>
      <c r="CH556" s="855">
        <f t="shared" si="787"/>
        <v>0.90430211126005366</v>
      </c>
      <c r="CI556" s="1023">
        <v>66.400000000000006</v>
      </c>
      <c r="CJ556" s="1023">
        <v>33.5</v>
      </c>
      <c r="CK556" s="1023">
        <v>0</v>
      </c>
      <c r="CL556" s="1023">
        <v>30</v>
      </c>
      <c r="CM556" s="1023">
        <v>125</v>
      </c>
      <c r="CN556" s="1023"/>
    </row>
    <row r="557" spans="1:92">
      <c r="A557" s="1034">
        <f t="shared" si="823"/>
        <v>41712</v>
      </c>
      <c r="B557" s="1035"/>
      <c r="C557" s="854">
        <f t="shared" si="853"/>
        <v>24</v>
      </c>
      <c r="D557" s="1044"/>
      <c r="E557" s="1044"/>
      <c r="F557" s="1044"/>
      <c r="G557" s="1044"/>
      <c r="H557" s="1044"/>
      <c r="I557" s="1044"/>
      <c r="J557" s="1044"/>
      <c r="K557" s="1044"/>
      <c r="L557" s="1044"/>
      <c r="M557" s="1044"/>
      <c r="N557" s="1044"/>
      <c r="O557" s="1044"/>
      <c r="P557" s="1044"/>
      <c r="Q557" s="1044"/>
      <c r="R557" s="1044"/>
      <c r="S557" s="1044"/>
      <c r="T557" s="1044"/>
      <c r="U557" s="1044"/>
      <c r="V557" s="1044"/>
      <c r="W557" s="1044"/>
      <c r="X557" s="1044"/>
      <c r="Y557" s="1044"/>
      <c r="Z557" s="1044"/>
      <c r="AA557" s="1044"/>
      <c r="AB557" s="1044"/>
      <c r="AC557" s="1044"/>
      <c r="AD557" s="1044"/>
      <c r="AE557" s="1044"/>
      <c r="AF557" s="1044"/>
      <c r="AG557" s="1044"/>
      <c r="AH557" s="1044"/>
      <c r="AI557" s="1044"/>
      <c r="AJ557" s="1044"/>
      <c r="AK557" s="1044"/>
      <c r="AL557" s="1044">
        <v>35.6</v>
      </c>
      <c r="AM557" s="1044">
        <v>1823</v>
      </c>
      <c r="AN557" s="208">
        <f t="shared" si="854"/>
        <v>60.480000000000004</v>
      </c>
      <c r="AO557" s="208">
        <f t="shared" si="855"/>
        <v>23.363095238095237</v>
      </c>
      <c r="AP557" s="1044">
        <v>1040</v>
      </c>
      <c r="AQ557" s="1047">
        <f t="shared" si="743"/>
        <v>62096.934375000004</v>
      </c>
      <c r="AR557" s="76">
        <f t="shared" si="856"/>
        <v>1267.2843750000029</v>
      </c>
      <c r="AS557" s="230">
        <f t="shared" si="857"/>
        <v>52.803515625000124</v>
      </c>
      <c r="AT557" s="208">
        <f t="shared" ref="AT557:AT562" si="862">AR557/(AVERAGE(AN557,AN558)*(AVERAGE(D$556,D$550,D$529,D$549,D$535,D$537,D$542,D$525,D$528,D$521))*AVERAGE(E$556,E$550,E$529,E$549,E$535,E$537,E$542,E$525,E$528,E$521)*0.0001)</f>
        <v>962.10898853973322</v>
      </c>
      <c r="AU557" s="1044"/>
      <c r="AV557" s="230">
        <f t="shared" ref="AV557:AV562" si="863">AR557/(AVERAGE(AN558,AN557)*AVERAGE(D$556,D$550,D$529,D$549,D$535,D$537,D$542,D$525,D$528,D$521)*0.01)</f>
        <v>723.34407954091557</v>
      </c>
      <c r="AW557" s="855">
        <f t="shared" si="782"/>
        <v>0.89687500000000209</v>
      </c>
      <c r="AX557" s="1044"/>
      <c r="AY557" s="1044"/>
      <c r="AZ557" s="1044"/>
      <c r="BA557" s="1044"/>
      <c r="BB557" s="1044"/>
      <c r="BC557" s="1044"/>
      <c r="BD557" s="1044"/>
      <c r="BE557" s="1044"/>
      <c r="BF557" s="1044"/>
      <c r="BG557" s="1044"/>
      <c r="BH557" s="1044"/>
      <c r="BI557" s="1044"/>
      <c r="BJ557" s="1044"/>
      <c r="BK557" s="1044"/>
      <c r="BL557" s="1044"/>
      <c r="BM557" s="1044"/>
      <c r="BN557" s="1044"/>
      <c r="BO557" s="1044"/>
      <c r="BP557" s="1044"/>
      <c r="BQ557" s="1044"/>
      <c r="BR557" s="1044"/>
      <c r="BS557" s="1044"/>
      <c r="BT557" s="1044"/>
      <c r="BU557" s="1044"/>
      <c r="BV557" s="1044"/>
      <c r="BW557" s="1044">
        <v>50.6</v>
      </c>
      <c r="BX557" s="1044">
        <v>1103</v>
      </c>
      <c r="BY557" s="1054">
        <f t="shared" si="858"/>
        <v>32</v>
      </c>
      <c r="BZ557" s="1054">
        <f t="shared" si="859"/>
        <v>23.3125</v>
      </c>
      <c r="CA557" s="1044">
        <v>562</v>
      </c>
      <c r="CB557" s="1047">
        <f t="shared" si="744"/>
        <v>33914.453125</v>
      </c>
      <c r="CC557" s="208">
        <f t="shared" si="860"/>
        <v>674.609375</v>
      </c>
      <c r="CD557" s="208">
        <f t="shared" si="861"/>
        <v>28.108723958333332</v>
      </c>
      <c r="CE557" s="230">
        <f t="shared" ref="CE557:CE562" si="864">CC557/(AVERAGE(BY558,BY557)*(AVERAGE(D$556,D$550,D$529,D$549,D$535,D$537,D$542,D$525,D$528,D$521))*AVERAGE(E$556,E$550,E$529,E$549,E$535,E$537,E$542,E$525,E$528,E$521)*0.0001)</f>
        <v>967.97550676253422</v>
      </c>
      <c r="CF557" s="1044"/>
      <c r="CG557" s="208">
        <f>CC557/(AVERAGE(BY557,BY558)*AVERAGE((D$556,D$550,D$529,D$549,D$535,D$537,D$542,D$525,D$528,D$521))*0.01)</f>
        <v>727.75471417226095</v>
      </c>
      <c r="CH557" s="855">
        <f t="shared" si="787"/>
        <v>0.90430211126005366</v>
      </c>
      <c r="CI557" s="1044"/>
      <c r="CJ557" s="1044"/>
      <c r="CK557" s="1044"/>
      <c r="CL557" s="1044"/>
      <c r="CM557" s="1044"/>
      <c r="CN557" s="1044"/>
    </row>
    <row r="558" spans="1:92">
      <c r="A558" s="1034">
        <f t="shared" si="823"/>
        <v>41713</v>
      </c>
      <c r="B558" s="1035"/>
      <c r="C558" s="854">
        <f t="shared" si="853"/>
        <v>24</v>
      </c>
      <c r="D558" s="1044"/>
      <c r="E558" s="1044"/>
      <c r="F558" s="1044"/>
      <c r="G558" s="1044"/>
      <c r="H558" s="1044"/>
      <c r="I558" s="1044"/>
      <c r="J558" s="1044"/>
      <c r="K558" s="1044"/>
      <c r="L558" s="1044"/>
      <c r="M558" s="1044"/>
      <c r="N558" s="1044"/>
      <c r="O558" s="1044"/>
      <c r="P558" s="1044"/>
      <c r="Q558" s="1044"/>
      <c r="R558" s="1044"/>
      <c r="S558" s="1044"/>
      <c r="T558" s="1044"/>
      <c r="U558" s="1044"/>
      <c r="V558" s="1044"/>
      <c r="W558" s="1044"/>
      <c r="X558" s="1044"/>
      <c r="Y558" s="1044"/>
      <c r="Z558" s="1044"/>
      <c r="AA558" s="1044"/>
      <c r="AB558" s="1044"/>
      <c r="AC558" s="1044"/>
      <c r="AD558" s="1044"/>
      <c r="AE558" s="1044"/>
      <c r="AF558" s="1044"/>
      <c r="AG558" s="1044"/>
      <c r="AH558" s="1044"/>
      <c r="AI558" s="1044"/>
      <c r="AJ558" s="1044"/>
      <c r="AK558" s="1044"/>
      <c r="AL558" s="1044">
        <v>35.700000000000003</v>
      </c>
      <c r="AM558" s="1044">
        <v>1851</v>
      </c>
      <c r="AN558" s="208">
        <f t="shared" si="854"/>
        <v>60.480000000000004</v>
      </c>
      <c r="AO558" s="208">
        <f t="shared" si="855"/>
        <v>23.363095238095237</v>
      </c>
      <c r="AP558" s="1044">
        <v>1062</v>
      </c>
      <c r="AQ558" s="1047">
        <f t="shared" si="743"/>
        <v>63424.565625000003</v>
      </c>
      <c r="AR558" s="76">
        <f t="shared" si="856"/>
        <v>1327.6312499999985</v>
      </c>
      <c r="AS558" s="230">
        <f t="shared" si="857"/>
        <v>55.317968749999942</v>
      </c>
      <c r="AT558" s="208">
        <f t="shared" si="862"/>
        <v>1007.9237022797171</v>
      </c>
      <c r="AU558" s="1044"/>
      <c r="AV558" s="230">
        <f t="shared" si="863"/>
        <v>757.78903570952798</v>
      </c>
      <c r="AW558" s="855">
        <f t="shared" si="782"/>
        <v>0.93958333333333233</v>
      </c>
      <c r="AX558" s="1044"/>
      <c r="AY558" s="1044"/>
      <c r="AZ558" s="1044"/>
      <c r="BA558" s="1044"/>
      <c r="BB558" s="1044"/>
      <c r="BC558" s="1044"/>
      <c r="BD558" s="1044"/>
      <c r="BE558" s="1044"/>
      <c r="BF558" s="1044"/>
      <c r="BG558" s="1044"/>
      <c r="BH558" s="1044"/>
      <c r="BI558" s="1044"/>
      <c r="BJ558" s="1044"/>
      <c r="BK558" s="1044"/>
      <c r="BL558" s="1044"/>
      <c r="BM558" s="1044"/>
      <c r="BN558" s="1044"/>
      <c r="BO558" s="1044"/>
      <c r="BP558" s="1044"/>
      <c r="BQ558" s="1044"/>
      <c r="BR558" s="1044"/>
      <c r="BS558" s="1044"/>
      <c r="BT558" s="1044"/>
      <c r="BU558" s="1044"/>
      <c r="BV558" s="1044"/>
      <c r="BW558" s="1044">
        <v>50.6</v>
      </c>
      <c r="BX558" s="1044">
        <v>1119</v>
      </c>
      <c r="BY558" s="1054">
        <f t="shared" si="858"/>
        <v>32</v>
      </c>
      <c r="BZ558" s="1054">
        <f t="shared" si="859"/>
        <v>23.3125</v>
      </c>
      <c r="CA558" s="1044">
        <v>575</v>
      </c>
      <c r="CB558" s="1047">
        <f t="shared" si="744"/>
        <v>34711.71875</v>
      </c>
      <c r="CC558" s="208">
        <f t="shared" si="860"/>
        <v>797.265625</v>
      </c>
      <c r="CD558" s="208">
        <f t="shared" si="861"/>
        <v>33.219401041666664</v>
      </c>
      <c r="CE558" s="230">
        <f t="shared" si="864"/>
        <v>1143.9710534466312</v>
      </c>
      <c r="CF558" s="1044"/>
      <c r="CG558" s="208">
        <f>CC558/(AVERAGE(BY558,BY559)*AVERAGE((D$556,D$550,D$529,D$549,D$535,D$537,D$542,D$525,D$528,D$521))*0.01)</f>
        <v>860.07375311267197</v>
      </c>
      <c r="CH558" s="855">
        <f t="shared" si="787"/>
        <v>1.0687206769436997</v>
      </c>
      <c r="CI558" s="1044"/>
      <c r="CJ558" s="1044"/>
      <c r="CK558" s="1044"/>
      <c r="CL558" s="1044"/>
      <c r="CM558" s="1044"/>
      <c r="CN558" s="1044"/>
    </row>
    <row r="559" spans="1:92">
      <c r="A559" s="1034">
        <f t="shared" si="823"/>
        <v>41714</v>
      </c>
      <c r="B559" s="1035"/>
      <c r="C559" s="854">
        <f t="shared" si="853"/>
        <v>24</v>
      </c>
      <c r="D559" s="1044"/>
      <c r="E559" s="1044"/>
      <c r="F559" s="1044"/>
      <c r="G559" s="1044"/>
      <c r="H559" s="1044"/>
      <c r="I559" s="1044"/>
      <c r="J559" s="1044"/>
      <c r="K559" s="1044"/>
      <c r="L559" s="1044"/>
      <c r="M559" s="1044"/>
      <c r="N559" s="1044"/>
      <c r="O559" s="1044"/>
      <c r="P559" s="1044"/>
      <c r="Q559" s="1044"/>
      <c r="R559" s="1044"/>
      <c r="S559" s="1044"/>
      <c r="T559" s="1044"/>
      <c r="U559" s="1044"/>
      <c r="V559" s="1044"/>
      <c r="W559" s="1044"/>
      <c r="X559" s="1044"/>
      <c r="Y559" s="1044"/>
      <c r="Z559" s="1044"/>
      <c r="AA559" s="1044"/>
      <c r="AB559" s="1044"/>
      <c r="AC559" s="1044"/>
      <c r="AD559" s="1044"/>
      <c r="AE559" s="1044"/>
      <c r="AF559" s="1044"/>
      <c r="AG559" s="1044"/>
      <c r="AH559" s="1044"/>
      <c r="AI559" s="1044"/>
      <c r="AJ559" s="1044"/>
      <c r="AK559" s="1044"/>
      <c r="AL559" s="1044">
        <v>35.700000000000003</v>
      </c>
      <c r="AM559" s="1044">
        <v>1879</v>
      </c>
      <c r="AN559" s="208">
        <f t="shared" si="854"/>
        <v>60.480000000000004</v>
      </c>
      <c r="AO559" s="208">
        <f t="shared" si="855"/>
        <v>23.363095238095237</v>
      </c>
      <c r="AP559" s="1044">
        <v>1081</v>
      </c>
      <c r="AQ559" s="1047">
        <f t="shared" ref="AQ559:AQ567" si="865">((AP559-AP$489)*AQ$2)</f>
        <v>64571.156250000007</v>
      </c>
      <c r="AR559" s="76">
        <f t="shared" si="856"/>
        <v>1146.5906250000044</v>
      </c>
      <c r="AS559" s="230">
        <f t="shared" si="857"/>
        <v>47.774609375000182</v>
      </c>
      <c r="AT559" s="208">
        <f t="shared" si="862"/>
        <v>870.47956105975993</v>
      </c>
      <c r="AU559" s="1044"/>
      <c r="AV559" s="230">
        <f t="shared" si="863"/>
        <v>654.45416720368644</v>
      </c>
      <c r="AW559" s="855">
        <f t="shared" si="782"/>
        <v>0.81145833333333639</v>
      </c>
      <c r="AX559" s="1044"/>
      <c r="AY559" s="1044"/>
      <c r="AZ559" s="1044"/>
      <c r="BA559" s="1044"/>
      <c r="BB559" s="1044"/>
      <c r="BC559" s="1044"/>
      <c r="BD559" s="1044"/>
      <c r="BE559" s="1044"/>
      <c r="BF559" s="1044"/>
      <c r="BG559" s="1044"/>
      <c r="BH559" s="1044"/>
      <c r="BI559" s="1044"/>
      <c r="BJ559" s="1044"/>
      <c r="BK559" s="1044"/>
      <c r="BL559" s="1044"/>
      <c r="BM559" s="1044"/>
      <c r="BN559" s="1044"/>
      <c r="BO559" s="1044"/>
      <c r="BP559" s="1044"/>
      <c r="BQ559" s="1044"/>
      <c r="BR559" s="1044"/>
      <c r="BS559" s="1044"/>
      <c r="BT559" s="1044"/>
      <c r="BU559" s="1044"/>
      <c r="BV559" s="1044"/>
      <c r="BW559" s="1044">
        <v>50.6</v>
      </c>
      <c r="BX559" s="1044">
        <v>1135</v>
      </c>
      <c r="BY559" s="1054">
        <f t="shared" si="858"/>
        <v>32</v>
      </c>
      <c r="BZ559" s="1054">
        <f t="shared" si="859"/>
        <v>23.3125</v>
      </c>
      <c r="CA559" s="1044">
        <v>585</v>
      </c>
      <c r="CB559" s="1047">
        <f t="shared" si="744"/>
        <v>35325</v>
      </c>
      <c r="CC559" s="208">
        <f t="shared" si="860"/>
        <v>613.28125</v>
      </c>
      <c r="CD559" s="208">
        <f t="shared" si="861"/>
        <v>25.553385416666668</v>
      </c>
      <c r="CE559" s="230">
        <f t="shared" si="864"/>
        <v>879.97773342048561</v>
      </c>
      <c r="CF559" s="1044"/>
      <c r="CG559" s="208">
        <f>CC559/(AVERAGE(BY559,BY560)*AVERAGE((D$556,D$550,D$529,D$549,D$535,D$537,D$542,D$525,D$528,D$521))*0.01)</f>
        <v>661.59519470205544</v>
      </c>
      <c r="CH559" s="855">
        <f t="shared" si="787"/>
        <v>0.82209282841823061</v>
      </c>
      <c r="CI559" s="1044"/>
      <c r="CJ559" s="1044"/>
      <c r="CK559" s="1044"/>
      <c r="CL559" s="1044"/>
      <c r="CM559" s="1044"/>
      <c r="CN559" s="1044"/>
    </row>
    <row r="560" spans="1:92">
      <c r="A560" s="1034">
        <f t="shared" si="823"/>
        <v>41715</v>
      </c>
      <c r="B560" s="1035"/>
      <c r="C560" s="854">
        <f t="shared" si="853"/>
        <v>24</v>
      </c>
      <c r="D560" s="1044"/>
      <c r="E560" s="1044"/>
      <c r="F560" s="1044"/>
      <c r="G560" s="1044"/>
      <c r="H560" s="1044"/>
      <c r="I560" s="1044"/>
      <c r="J560" s="1044"/>
      <c r="K560" s="1044"/>
      <c r="L560" s="1044"/>
      <c r="M560" s="1044"/>
      <c r="N560" s="1044"/>
      <c r="O560" s="1044"/>
      <c r="P560" s="1044"/>
      <c r="Q560" s="1044"/>
      <c r="R560" s="1044"/>
      <c r="S560" s="1044"/>
      <c r="T560" s="1044"/>
      <c r="U560" s="1044"/>
      <c r="V560" s="1044"/>
      <c r="W560" s="1044"/>
      <c r="X560" s="1044"/>
      <c r="Y560" s="1044"/>
      <c r="Z560" s="1044"/>
      <c r="AA560" s="1044"/>
      <c r="AB560" s="1044"/>
      <c r="AC560" s="1044"/>
      <c r="AD560" s="1044"/>
      <c r="AE560" s="1044"/>
      <c r="AF560" s="1044"/>
      <c r="AG560" s="1044"/>
      <c r="AH560" s="1044"/>
      <c r="AI560" s="1044"/>
      <c r="AJ560" s="1044"/>
      <c r="AK560" s="1044"/>
      <c r="AL560" s="1044">
        <v>35.6</v>
      </c>
      <c r="AM560" s="1044">
        <v>1907</v>
      </c>
      <c r="AN560" s="208">
        <f t="shared" si="854"/>
        <v>60.480000000000004</v>
      </c>
      <c r="AO560" s="208">
        <f t="shared" si="855"/>
        <v>23.363095238095237</v>
      </c>
      <c r="AP560" s="1044">
        <v>1102</v>
      </c>
      <c r="AQ560" s="1047">
        <f t="shared" si="865"/>
        <v>65838.440625000003</v>
      </c>
      <c r="AR560" s="76">
        <f t="shared" si="856"/>
        <v>1267.2843749999956</v>
      </c>
      <c r="AS560" s="230">
        <f t="shared" si="857"/>
        <v>52.803515624999818</v>
      </c>
      <c r="AT560" s="208">
        <f t="shared" si="862"/>
        <v>962.10898853972765</v>
      </c>
      <c r="AU560" s="1044"/>
      <c r="AV560" s="230">
        <f t="shared" si="863"/>
        <v>723.34407954091137</v>
      </c>
      <c r="AW560" s="855">
        <f t="shared" si="782"/>
        <v>0.89687499999999687</v>
      </c>
      <c r="AX560" s="1044"/>
      <c r="AY560" s="1044"/>
      <c r="AZ560" s="1044"/>
      <c r="BA560" s="1044"/>
      <c r="BB560" s="1044"/>
      <c r="BC560" s="1044"/>
      <c r="BD560" s="1044"/>
      <c r="BE560" s="1044"/>
      <c r="BF560" s="1044"/>
      <c r="BG560" s="1044"/>
      <c r="BH560" s="1044"/>
      <c r="BI560" s="1044"/>
      <c r="BJ560" s="1044"/>
      <c r="BK560" s="1044"/>
      <c r="BL560" s="1044"/>
      <c r="BM560" s="1044"/>
      <c r="BN560" s="1044"/>
      <c r="BO560" s="1044"/>
      <c r="BP560" s="1044"/>
      <c r="BQ560" s="1044"/>
      <c r="BR560" s="1044"/>
      <c r="BS560" s="1044"/>
      <c r="BT560" s="1044"/>
      <c r="BU560" s="1044"/>
      <c r="BV560" s="1044"/>
      <c r="BW560" s="1044">
        <v>50.5</v>
      </c>
      <c r="BX560" s="1044">
        <v>1151</v>
      </c>
      <c r="BY560" s="1054">
        <f t="shared" si="858"/>
        <v>32</v>
      </c>
      <c r="BZ560" s="1054">
        <f t="shared" si="859"/>
        <v>23.3125</v>
      </c>
      <c r="CA560" s="1044">
        <v>596</v>
      </c>
      <c r="CB560" s="1047">
        <f t="shared" si="744"/>
        <v>35999.609375</v>
      </c>
      <c r="CC560" s="208">
        <f t="shared" si="860"/>
        <v>674.609375</v>
      </c>
      <c r="CD560" s="208">
        <f t="shared" si="861"/>
        <v>28.108723958333332</v>
      </c>
      <c r="CE560" s="230">
        <f t="shared" si="864"/>
        <v>967.97550676253422</v>
      </c>
      <c r="CF560" s="1044"/>
      <c r="CG560" s="208">
        <f>CC560/(AVERAGE(BY560,BY561)*AVERAGE((D$556,D$550,D$529,D$549,D$535,D$537,D$542,D$525,D$528,D$521))*0.01)</f>
        <v>727.75471417226095</v>
      </c>
      <c r="CH560" s="855">
        <f t="shared" si="787"/>
        <v>0.90430211126005366</v>
      </c>
      <c r="CI560" s="1044"/>
      <c r="CJ560" s="1044"/>
      <c r="CK560" s="1044"/>
      <c r="CL560" s="1044"/>
      <c r="CM560" s="1044"/>
      <c r="CN560" s="1044"/>
    </row>
    <row r="561" spans="1:92">
      <c r="A561" s="1034">
        <f t="shared" si="823"/>
        <v>41716</v>
      </c>
      <c r="B561" s="1035"/>
      <c r="C561" s="854">
        <f t="shared" si="853"/>
        <v>24</v>
      </c>
      <c r="D561" s="1044"/>
      <c r="E561" s="1044"/>
      <c r="F561" s="1044"/>
      <c r="G561" s="1044"/>
      <c r="H561" s="1044"/>
      <c r="I561" s="1044"/>
      <c r="J561" s="1044"/>
      <c r="K561" s="1044"/>
      <c r="L561" s="1044"/>
      <c r="M561" s="1044"/>
      <c r="N561" s="1044"/>
      <c r="O561" s="1044"/>
      <c r="P561" s="1044"/>
      <c r="Q561" s="1044"/>
      <c r="R561" s="1044"/>
      <c r="S561" s="1044"/>
      <c r="T561" s="1044"/>
      <c r="U561" s="1044"/>
      <c r="V561" s="1044"/>
      <c r="W561" s="1044"/>
      <c r="X561" s="1044"/>
      <c r="Y561" s="1044"/>
      <c r="Z561" s="1044"/>
      <c r="AA561" s="1044"/>
      <c r="AB561" s="1044"/>
      <c r="AC561" s="1044"/>
      <c r="AD561" s="1044"/>
      <c r="AE561" s="1044"/>
      <c r="AF561" s="1044"/>
      <c r="AG561" s="1044"/>
      <c r="AH561" s="1044"/>
      <c r="AI561" s="1044"/>
      <c r="AJ561" s="1044"/>
      <c r="AK561" s="1044"/>
      <c r="AL561" s="1044">
        <v>35.799999999999997</v>
      </c>
      <c r="AM561" s="1044">
        <v>1935</v>
      </c>
      <c r="AN561" s="208">
        <f t="shared" si="854"/>
        <v>60.480000000000004</v>
      </c>
      <c r="AO561" s="208">
        <f t="shared" si="855"/>
        <v>23.363095238095237</v>
      </c>
      <c r="AP561" s="1044">
        <v>1123</v>
      </c>
      <c r="AQ561" s="1047">
        <f t="shared" si="865"/>
        <v>67105.725000000006</v>
      </c>
      <c r="AR561" s="76">
        <f t="shared" si="856"/>
        <v>1267.2843750000029</v>
      </c>
      <c r="AS561" s="230">
        <f t="shared" si="857"/>
        <v>52.803515625000124</v>
      </c>
      <c r="AT561" s="208">
        <f t="shared" si="862"/>
        <v>962.10898853973322</v>
      </c>
      <c r="AU561" s="1044"/>
      <c r="AV561" s="230">
        <f t="shared" si="863"/>
        <v>723.34407954091557</v>
      </c>
      <c r="AW561" s="855">
        <f t="shared" si="782"/>
        <v>0.89687500000000209</v>
      </c>
      <c r="AX561" s="1044"/>
      <c r="AY561" s="1044"/>
      <c r="AZ561" s="1044"/>
      <c r="BA561" s="1044"/>
      <c r="BB561" s="1044"/>
      <c r="BC561" s="1044"/>
      <c r="BD561" s="1044"/>
      <c r="BE561" s="1044"/>
      <c r="BF561" s="1044"/>
      <c r="BG561" s="1044"/>
      <c r="BH561" s="1044"/>
      <c r="BI561" s="1044"/>
      <c r="BJ561" s="1044"/>
      <c r="BK561" s="1044"/>
      <c r="BL561" s="1044"/>
      <c r="BM561" s="1044"/>
      <c r="BN561" s="1044"/>
      <c r="BO561" s="1044"/>
      <c r="BP561" s="1044"/>
      <c r="BQ561" s="1044"/>
      <c r="BR561" s="1044"/>
      <c r="BS561" s="1044"/>
      <c r="BT561" s="1044"/>
      <c r="BU561" s="1044"/>
      <c r="BV561" s="1044"/>
      <c r="BW561" s="1044">
        <v>50.4</v>
      </c>
      <c r="BX561" s="1044">
        <v>1167</v>
      </c>
      <c r="BY561" s="1054">
        <f t="shared" si="858"/>
        <v>32</v>
      </c>
      <c r="BZ561" s="1054">
        <f t="shared" si="859"/>
        <v>23.3125</v>
      </c>
      <c r="CA561" s="1044">
        <v>607</v>
      </c>
      <c r="CB561" s="1047">
        <f t="shared" si="744"/>
        <v>36674.21875</v>
      </c>
      <c r="CC561" s="208">
        <f t="shared" si="860"/>
        <v>674.609375</v>
      </c>
      <c r="CD561" s="208">
        <f t="shared" si="861"/>
        <v>28.108723958333332</v>
      </c>
      <c r="CE561" s="230">
        <f t="shared" si="864"/>
        <v>967.97550676253422</v>
      </c>
      <c r="CF561" s="1044"/>
      <c r="CG561" s="208">
        <f>CC561/(AVERAGE(BY561,BY562)*AVERAGE((D$556,D$550,D$529,D$549,D$535,D$537,D$542,D$525,D$528,D$521))*0.01)</f>
        <v>727.75471417226095</v>
      </c>
      <c r="CH561" s="855">
        <f t="shared" si="787"/>
        <v>0.90430211126005366</v>
      </c>
      <c r="CI561" s="1044"/>
      <c r="CJ561" s="1044"/>
      <c r="CK561" s="1044"/>
      <c r="CL561" s="1044"/>
      <c r="CM561" s="1044"/>
      <c r="CN561" s="1044"/>
    </row>
    <row r="562" spans="1:92">
      <c r="A562" s="1034">
        <f t="shared" si="823"/>
        <v>41717</v>
      </c>
      <c r="B562" s="1035"/>
      <c r="C562" s="854">
        <f t="shared" si="853"/>
        <v>24</v>
      </c>
      <c r="D562" s="1044"/>
      <c r="E562" s="1044"/>
      <c r="F562" s="1044"/>
      <c r="G562" s="1044"/>
      <c r="H562" s="1044"/>
      <c r="I562" s="1044"/>
      <c r="J562" s="1044"/>
      <c r="K562" s="1044"/>
      <c r="L562" s="1044"/>
      <c r="M562" s="1044"/>
      <c r="N562" s="1044"/>
      <c r="O562" s="1044"/>
      <c r="P562" s="1044"/>
      <c r="Q562" s="1044"/>
      <c r="R562" s="1044"/>
      <c r="S562" s="1044"/>
      <c r="T562" s="1044"/>
      <c r="U562" s="1044"/>
      <c r="V562" s="1044"/>
      <c r="W562" s="1044"/>
      <c r="X562" s="1044"/>
      <c r="Y562" s="1044"/>
      <c r="Z562" s="1044"/>
      <c r="AA562" s="1044"/>
      <c r="AB562" s="1044"/>
      <c r="AC562" s="1044"/>
      <c r="AD562" s="1044"/>
      <c r="AE562" s="1044"/>
      <c r="AF562" s="1044"/>
      <c r="AG562" s="1044"/>
      <c r="AH562" s="1044"/>
      <c r="AI562" s="1044"/>
      <c r="AJ562" s="1044"/>
      <c r="AK562" s="1044"/>
      <c r="AL562" s="1044">
        <v>35.799999999999997</v>
      </c>
      <c r="AM562" s="1044">
        <v>1963</v>
      </c>
      <c r="AN562" s="208">
        <f t="shared" si="854"/>
        <v>60.480000000000004</v>
      </c>
      <c r="AO562" s="208">
        <f t="shared" si="855"/>
        <v>23.363095238095237</v>
      </c>
      <c r="AP562" s="1044">
        <v>1144</v>
      </c>
      <c r="AQ562" s="1047">
        <f t="shared" si="865"/>
        <v>68373.009375000009</v>
      </c>
      <c r="AR562" s="76">
        <f t="shared" si="856"/>
        <v>1267.2843750000029</v>
      </c>
      <c r="AS562" s="230">
        <f t="shared" si="857"/>
        <v>52.803515625000124</v>
      </c>
      <c r="AT562" s="208">
        <f t="shared" si="862"/>
        <v>1056.4333991808835</v>
      </c>
      <c r="AU562" s="1044"/>
      <c r="AV562" s="230">
        <f t="shared" si="863"/>
        <v>794.26016577041696</v>
      </c>
      <c r="AW562" s="855">
        <f t="shared" si="782"/>
        <v>0.89687500000000209</v>
      </c>
      <c r="AX562" s="1044"/>
      <c r="AY562" s="1044"/>
      <c r="AZ562" s="1044"/>
      <c r="BA562" s="1044"/>
      <c r="BB562" s="1044"/>
      <c r="BC562" s="1044"/>
      <c r="BD562" s="1044"/>
      <c r="BE562" s="1044"/>
      <c r="BF562" s="1044"/>
      <c r="BG562" s="1044"/>
      <c r="BH562" s="1044"/>
      <c r="BI562" s="1044"/>
      <c r="BJ562" s="1044"/>
      <c r="BK562" s="1044"/>
      <c r="BL562" s="1044"/>
      <c r="BM562" s="1044"/>
      <c r="BN562" s="1044"/>
      <c r="BO562" s="1044"/>
      <c r="BP562" s="1044"/>
      <c r="BQ562" s="1044"/>
      <c r="BR562" s="1044"/>
      <c r="BS562" s="1044"/>
      <c r="BT562" s="1044"/>
      <c r="BU562" s="1044"/>
      <c r="BV562" s="1044"/>
      <c r="BW562" s="1044">
        <v>50.6</v>
      </c>
      <c r="BX562" s="1044">
        <v>1183</v>
      </c>
      <c r="BY562" s="1054">
        <f t="shared" si="858"/>
        <v>32</v>
      </c>
      <c r="BZ562" s="1054">
        <f t="shared" si="859"/>
        <v>23.3125</v>
      </c>
      <c r="CA562" s="1044">
        <v>618</v>
      </c>
      <c r="CB562" s="1047">
        <f t="shared" si="744"/>
        <v>37348.828125</v>
      </c>
      <c r="CC562" s="208">
        <f t="shared" si="860"/>
        <v>674.609375</v>
      </c>
      <c r="CD562" s="208">
        <f t="shared" si="861"/>
        <v>28.108723958333332</v>
      </c>
      <c r="CE562" s="230">
        <f t="shared" si="864"/>
        <v>967.97550676253422</v>
      </c>
      <c r="CF562" s="1044"/>
      <c r="CG562" s="208">
        <f>CC562/(AVERAGE(BY562,BY563)*AVERAGE((D$556,D$550,D$529,D$549,D$535,D$537,D$542,D$525,D$528,D$521))*0.01)</f>
        <v>727.75471417226095</v>
      </c>
      <c r="CH562" s="855">
        <f t="shared" si="787"/>
        <v>0.90430211126005366</v>
      </c>
      <c r="CI562" s="1044"/>
      <c r="CJ562" s="1044"/>
      <c r="CK562" s="1044"/>
      <c r="CL562" s="1044"/>
      <c r="CM562" s="1044"/>
      <c r="CN562" s="1044"/>
    </row>
    <row r="563" spans="1:92" s="584" customFormat="1">
      <c r="A563" s="1079">
        <f t="shared" si="823"/>
        <v>41718</v>
      </c>
      <c r="B563" s="1080"/>
      <c r="C563" s="1081">
        <f t="shared" si="853"/>
        <v>24</v>
      </c>
      <c r="D563" s="1082">
        <v>3.4</v>
      </c>
      <c r="E563" s="1082">
        <v>78.900000000000006</v>
      </c>
      <c r="F563" s="1082">
        <v>42100</v>
      </c>
      <c r="G563" s="1082"/>
      <c r="H563" s="1082">
        <v>43.8</v>
      </c>
      <c r="I563" s="1082">
        <v>3602</v>
      </c>
      <c r="J563" s="1082">
        <v>1475</v>
      </c>
      <c r="K563" s="1082">
        <v>19.8</v>
      </c>
      <c r="L563" s="1082">
        <v>213</v>
      </c>
      <c r="M563" s="1082"/>
      <c r="N563" s="1082"/>
      <c r="O563" s="1082"/>
      <c r="P563" s="1082"/>
      <c r="Q563" s="1082"/>
      <c r="R563" s="1082"/>
      <c r="S563" s="1082"/>
      <c r="T563" s="1082"/>
      <c r="U563" s="1082"/>
      <c r="V563" s="1082">
        <v>1.9</v>
      </c>
      <c r="W563" s="1082">
        <v>65.3</v>
      </c>
      <c r="X563" s="1082">
        <v>22200</v>
      </c>
      <c r="Y563" s="1082">
        <v>31.9</v>
      </c>
      <c r="Z563" s="1082">
        <v>1361</v>
      </c>
      <c r="AA563" s="1082">
        <v>334</v>
      </c>
      <c r="AB563" s="1082">
        <v>59.6</v>
      </c>
      <c r="AC563" s="1082">
        <v>209</v>
      </c>
      <c r="AD563" s="1021">
        <f>D556*(100-E556)/(100-W563)</f>
        <v>2.0472622478386167</v>
      </c>
      <c r="AE563" s="1055">
        <f>D556-V563</f>
        <v>1.3000000000000003</v>
      </c>
      <c r="AF563" s="847">
        <f>100*(AVERAGE(D$556,D$550,D$529,D$549,D$535,D$537,D$542,D$525,D$528,D$563)-V563)/AVERAGE(D$556,D$550,D$529,D$549,D$535,D$537,D$542,D$525,D$528,D$563)</f>
        <v>35.918108830784632</v>
      </c>
      <c r="AG563" s="847">
        <f>100*(1-((100-AVERAGE(E$556,E$550,E$529,E$549,E$535,E$537,E$542,E$525,E$528,E$563))/(100-W563)))</f>
        <v>29.895419806799104</v>
      </c>
      <c r="AH563" s="1055">
        <f>E556-W563</f>
        <v>12.5</v>
      </c>
      <c r="AI563" s="847">
        <f>100*(1-((V563*W563)/(AVERAGE(D$556,D$550,D$529,D$549,D$535,D$537,D$542,D$525,D$528,D$563)*AVERAGE(E$556,E$550,E$529,E$549,E$535,E$537,E$542,E$525,E$528,E$563))))</f>
        <v>44.702757983757238</v>
      </c>
      <c r="AJ563" s="847">
        <f>100*100*((AVERAGE(E$556,E$550,E$529,E$549,E$535,E$537,E$542,E$525,E$528,E$563)-W563)/((100-W563)*AVERAGE(E$556,E$550,E$529,E$549,E$535,E$537,E$542,E$525,E$528,E$563)))</f>
        <v>39.505687696482589</v>
      </c>
      <c r="AK563" s="1082"/>
      <c r="AL563" s="1082">
        <v>35.6</v>
      </c>
      <c r="AM563" s="1082">
        <v>1986</v>
      </c>
      <c r="AN563" s="597">
        <f t="shared" si="854"/>
        <v>49.680000000000007</v>
      </c>
      <c r="AO563" s="597">
        <f t="shared" si="855"/>
        <v>28.442028985507243</v>
      </c>
      <c r="AP563" s="1082">
        <v>1162</v>
      </c>
      <c r="AQ563" s="1083">
        <f t="shared" si="865"/>
        <v>69459.253125000003</v>
      </c>
      <c r="AR563" s="580">
        <f t="shared" si="856"/>
        <v>1086.2437499999942</v>
      </c>
      <c r="AS563" s="591">
        <f t="shared" si="857"/>
        <v>45.26015624999976</v>
      </c>
      <c r="AT563" s="597">
        <f>AR563/(AVERAGE(AN563,AN564)*(AVERAGE(D$556,D$550,D$529,D$549,D$535,D$537,D$542,D$525,D$528,D$563))*AVERAGE(E$556,E$550,E$529,E$549,E$535,E$537,E$542,E$525,E$528,E$563)*0.0001)</f>
        <v>1494.2352219620341</v>
      </c>
      <c r="AU563" s="597">
        <f>(AQ563-AQ557)/(AVERAGE(AN557:AN563)*((AVERAGE(D$556,D$550,D$529,D$549,D$535,D$537,D$542,D$525,D$528,D$563)*AVERAGE(E$556,E$550,E$529,E$549,E$535,E$537,E$542,E$525,E$528,E$563))-(V563*W563))*0.0001*(SUM(C557:C563)/24))</f>
        <v>1779.2208878714039</v>
      </c>
      <c r="AV563" s="591">
        <f>AR563/(AVERAGE(AN564,AN563)*AVERAGE(D$556,D$550,D$529,D$549,D$535,D$537,D$542,D$525,D$528,D$563)*0.01)</f>
        <v>1130.7432386410005</v>
      </c>
      <c r="AW563" s="1085">
        <f t="shared" si="782"/>
        <v>0.76874999999999583</v>
      </c>
      <c r="AX563" s="1082"/>
      <c r="AY563" s="1082"/>
      <c r="AZ563" s="1082"/>
      <c r="BA563" s="1082"/>
      <c r="BB563" s="1082"/>
      <c r="BC563" s="1082"/>
      <c r="BD563" s="1082"/>
      <c r="BE563" s="1082"/>
      <c r="BF563" s="1082"/>
      <c r="BG563" s="1082">
        <v>1.8</v>
      </c>
      <c r="BH563" s="1082">
        <v>63.5</v>
      </c>
      <c r="BI563" s="1082">
        <v>17800</v>
      </c>
      <c r="BJ563" s="1082">
        <v>29.8</v>
      </c>
      <c r="BK563" s="1082">
        <v>2140</v>
      </c>
      <c r="BL563" s="1082">
        <v>411</v>
      </c>
      <c r="BM563" s="1082">
        <v>71.400000000000006</v>
      </c>
      <c r="BN563" s="1082">
        <v>158</v>
      </c>
      <c r="BO563" s="847">
        <f>D556*(100-E556)/(100-BH563)</f>
        <v>1.9463013698630138</v>
      </c>
      <c r="BP563" s="1055">
        <f>D556-BG563</f>
        <v>1.4000000000000001</v>
      </c>
      <c r="BQ563" s="1056">
        <f>100*(AVERAGE(D$556,D$550,D$529,D$549,D$535,D$537,D$542,D$525,D$528,D$563)-BG563)/AVERAGE(D$556,D$550,D$529,D$549,D$535,D$537,D$542,D$525,D$528,D$563)</f>
        <v>39.290839944953866</v>
      </c>
      <c r="BR563" s="1056">
        <f>100*(1-((100-AVERAGE(E$556,E$550,E$529,E$549,E$535,E$537,E$542,E$525,E$528,E$563))/(100-BH563)))</f>
        <v>33.352631980710377</v>
      </c>
      <c r="BS563" s="1055">
        <f>E556-BH563</f>
        <v>14.299999999999997</v>
      </c>
      <c r="BT563" s="1055">
        <f>100*(1-((BG563*BH563)/(AVERAGE(D$556,D$550,D$529,D$549,D$535,D$537,D$542,D$525,D$528,D$563)*AVERAGE(E$556,E$550,E$529,E$549,E$535,E$537,E$542,E$525,E$528,E$563))))</f>
        <v>49.057187374413246</v>
      </c>
      <c r="BU563" s="847">
        <f>100*100*((AVERAGE(E$556,E$550,E$529,E$549,E$535,E$537,E$542,E$525,E$528,E$563)-BH563)/((100-BH563)*AVERAGE(E$556,E$550,E$529,E$549,E$535,E$537,E$542,E$525,E$528,E$563)))</f>
        <v>44.074265268755177</v>
      </c>
      <c r="BV563" s="1082"/>
      <c r="BW563" s="1082">
        <v>50.5</v>
      </c>
      <c r="BX563" s="1082">
        <v>1199</v>
      </c>
      <c r="BY563" s="1054">
        <f t="shared" si="858"/>
        <v>32</v>
      </c>
      <c r="BZ563" s="1054">
        <f t="shared" si="859"/>
        <v>23.3125</v>
      </c>
      <c r="CA563" s="1082">
        <v>627</v>
      </c>
      <c r="CB563" s="1083">
        <f t="shared" si="744"/>
        <v>37900.78125</v>
      </c>
      <c r="CC563" s="208">
        <f t="shared" si="860"/>
        <v>551.953125</v>
      </c>
      <c r="CD563" s="208">
        <f t="shared" si="861"/>
        <v>22.998046875</v>
      </c>
      <c r="CE563" s="230">
        <f>CC563/(AVERAGE(BY564,BY563)*(AVERAGE(D$556,D$550,D$529,D$549,D$535,D$537,D$542,D$525,D$528,D$563))*AVERAGE(E$556,E$550,E$529,E$549,E$535,E$537,E$542,E$525,E$528,E$563)*0.0001)</f>
        <v>768.75668812833715</v>
      </c>
      <c r="CF563" s="334">
        <f>(CB563-CB557)/(AVERAGE(BY557:BY563)*((AVERAGE(D$556,D$550,D$529,D$549,D$535,D$537,D$542,D$525,D$528,D$563)*AVERAGE(E$556,E$550,E$529,E$549,E$535,E$537,E$542,E$525,E$528,E$563))-(BG563*BH563))*0.0001*(SUM(C557:C563)/24))</f>
        <v>1616.8103081431914</v>
      </c>
      <c r="CG563" s="208">
        <f>CC563/(AVERAGE(BY563,BY564)*AVERAGE((D$556,D$550,D$529,D$549,D$535,D$537,D$542,D$525,D$528,D$563))*0.01)</f>
        <v>581.74671195326187</v>
      </c>
      <c r="CH563" s="855">
        <f t="shared" si="787"/>
        <v>0.73988354557640745</v>
      </c>
      <c r="CI563" s="1082"/>
      <c r="CJ563" s="1082"/>
      <c r="CK563" s="1082"/>
      <c r="CL563" s="1082"/>
      <c r="CM563" s="1082"/>
      <c r="CN563" s="1082"/>
    </row>
    <row r="564" spans="1:92">
      <c r="A564" s="1034">
        <f t="shared" si="823"/>
        <v>41719</v>
      </c>
      <c r="B564" s="1035"/>
      <c r="C564" s="854">
        <f t="shared" si="853"/>
        <v>24</v>
      </c>
      <c r="D564" s="1044"/>
      <c r="E564" s="1044"/>
      <c r="F564" s="1044"/>
      <c r="G564" s="1044"/>
      <c r="H564" s="1044"/>
      <c r="I564" s="1044"/>
      <c r="J564" s="1044"/>
      <c r="K564" s="1044"/>
      <c r="L564" s="1044"/>
      <c r="M564" s="1044"/>
      <c r="N564" s="1044"/>
      <c r="O564" s="1044"/>
      <c r="P564" s="1044"/>
      <c r="Q564" s="1044"/>
      <c r="R564" s="1044"/>
      <c r="S564" s="1044"/>
      <c r="T564" s="1044"/>
      <c r="U564" s="1044"/>
      <c r="V564" s="1044"/>
      <c r="W564" s="1044"/>
      <c r="X564" s="1044"/>
      <c r="Y564" s="1044"/>
      <c r="Z564" s="1044"/>
      <c r="AA564" s="1044"/>
      <c r="AB564" s="1044"/>
      <c r="AC564" s="1044"/>
      <c r="AD564" s="1044"/>
      <c r="AE564" s="1044"/>
      <c r="AF564" s="1044"/>
      <c r="AG564" s="1044"/>
      <c r="AH564" s="1044"/>
      <c r="AI564" s="1044"/>
      <c r="AJ564" s="1044"/>
      <c r="AK564" s="1044"/>
      <c r="AL564" s="1044">
        <v>35.6</v>
      </c>
      <c r="AM564" s="1044">
        <v>1993</v>
      </c>
      <c r="AN564" s="208">
        <f t="shared" si="854"/>
        <v>15.120000000000001</v>
      </c>
      <c r="AO564" s="208">
        <f t="shared" si="855"/>
        <v>93.452380952380949</v>
      </c>
      <c r="AP564" s="1044">
        <v>1179</v>
      </c>
      <c r="AQ564" s="1047">
        <f t="shared" si="865"/>
        <v>70485.150000000009</v>
      </c>
      <c r="AR564" s="76">
        <f t="shared" si="856"/>
        <v>1025.8968750000058</v>
      </c>
      <c r="AS564" s="230">
        <f t="shared" si="857"/>
        <v>42.74570312500024</v>
      </c>
      <c r="AT564" s="208">
        <f t="shared" ref="AT564:AT567" si="866">AR564/(AVERAGE(AN564,AN565)*(AVERAGE(D$556,D$550,D$529,D$549,D$535,D$537,D$542,D$525,D$528,D$563))*AVERAGE(E$556,E$550,E$529,E$549,E$535,E$537,E$542,E$525,E$528,E$563)*0.0001)</f>
        <v>2822.4443081505397</v>
      </c>
      <c r="AU564" s="1044"/>
      <c r="AV564" s="230">
        <f t="shared" ref="AV564:AV567" si="867">AR564/(AVERAGE(AN565,AN564)*AVERAGE(D$556,D$550,D$529,D$549,D$535,D$537,D$542,D$525,D$528,D$563)*0.01)</f>
        <v>2135.8483396552469</v>
      </c>
      <c r="AW564" s="855">
        <f t="shared" si="782"/>
        <v>0.7260416666666708</v>
      </c>
      <c r="AX564" s="1044"/>
      <c r="AY564" s="1044"/>
      <c r="AZ564" s="1044"/>
      <c r="BA564" s="1044"/>
      <c r="BB564" s="1044"/>
      <c r="BC564" s="1044"/>
      <c r="BD564" s="1044"/>
      <c r="BE564" s="1044"/>
      <c r="BF564" s="1044"/>
      <c r="BG564" s="1044"/>
      <c r="BH564" s="1044"/>
      <c r="BI564" s="1044"/>
      <c r="BJ564" s="1044"/>
      <c r="BK564" s="1044"/>
      <c r="BL564" s="1044"/>
      <c r="BM564" s="1044"/>
      <c r="BN564" s="1044"/>
      <c r="BO564" s="1044"/>
      <c r="BP564" s="1044"/>
      <c r="BQ564" s="1044"/>
      <c r="BR564" s="1044"/>
      <c r="BS564" s="1044"/>
      <c r="BT564" s="1044"/>
      <c r="BU564" s="1044"/>
      <c r="BV564" s="1044"/>
      <c r="BW564" s="1044">
        <v>50.5</v>
      </c>
      <c r="BX564" s="1044">
        <v>1215</v>
      </c>
      <c r="BY564" s="1054">
        <f t="shared" si="858"/>
        <v>32</v>
      </c>
      <c r="BZ564" s="1054">
        <f t="shared" si="859"/>
        <v>23.3125</v>
      </c>
      <c r="CA564" s="1044">
        <v>636</v>
      </c>
      <c r="CB564" s="1047">
        <f t="shared" si="744"/>
        <v>38452.734375</v>
      </c>
      <c r="CC564" s="208">
        <f t="shared" si="860"/>
        <v>551.953125</v>
      </c>
      <c r="CD564" s="208">
        <f t="shared" si="861"/>
        <v>22.998046875</v>
      </c>
      <c r="CE564" s="230">
        <f t="shared" ref="CE564:CE567" si="868">CC564/(AVERAGE(BY565,BY564)*(AVERAGE(D$556,D$550,D$529,D$549,D$535,D$537,D$542,D$525,D$528,D$563))*AVERAGE(E$556,E$550,E$529,E$549,E$535,E$537,E$542,E$525,E$528,E$563)*0.0001)</f>
        <v>768.75668812833715</v>
      </c>
      <c r="CF564" s="1044"/>
      <c r="CG564" s="208">
        <f>CC564/(AVERAGE(BY564,BY565)*AVERAGE((D$556,D$550,D$529,D$549,D$535,D$537,D$542,D$525,D$528,D$563))*0.01)</f>
        <v>581.74671195326187</v>
      </c>
      <c r="CH564" s="855">
        <f t="shared" si="787"/>
        <v>0.73988354557640745</v>
      </c>
      <c r="CI564" s="1044"/>
      <c r="CJ564" s="1044"/>
      <c r="CK564" s="1044"/>
      <c r="CL564" s="1044"/>
      <c r="CM564" s="1044"/>
      <c r="CN564" s="1044"/>
    </row>
    <row r="565" spans="1:92">
      <c r="A565" s="1034">
        <f t="shared" si="823"/>
        <v>41720</v>
      </c>
      <c r="B565" s="1035"/>
      <c r="C565" s="854">
        <f t="shared" si="853"/>
        <v>24</v>
      </c>
      <c r="D565" s="1044"/>
      <c r="E565" s="1044"/>
      <c r="F565" s="1044"/>
      <c r="G565" s="1044"/>
      <c r="H565" s="1044"/>
      <c r="I565" s="1044"/>
      <c r="J565" s="1044"/>
      <c r="K565" s="1044"/>
      <c r="L565" s="1044"/>
      <c r="M565" s="1044"/>
      <c r="N565" s="1044"/>
      <c r="O565" s="1044"/>
      <c r="P565" s="1044"/>
      <c r="Q565" s="1044"/>
      <c r="R565" s="1044"/>
      <c r="S565" s="1044"/>
      <c r="T565" s="1044"/>
      <c r="U565" s="1044"/>
      <c r="V565" s="1044"/>
      <c r="W565" s="1044"/>
      <c r="X565" s="1044"/>
      <c r="Y565" s="1044"/>
      <c r="Z565" s="1044"/>
      <c r="AA565" s="1044"/>
      <c r="AB565" s="1044"/>
      <c r="AC565" s="1044"/>
      <c r="AD565" s="1044"/>
      <c r="AE565" s="1044"/>
      <c r="AF565" s="1044"/>
      <c r="AG565" s="1044"/>
      <c r="AH565" s="1044"/>
      <c r="AI565" s="1044"/>
      <c r="AJ565" s="1044"/>
      <c r="AK565" s="1044"/>
      <c r="AL565" s="1044">
        <v>35.4</v>
      </c>
      <c r="AM565" s="1044">
        <v>2001</v>
      </c>
      <c r="AN565" s="208">
        <f t="shared" si="854"/>
        <v>17.28</v>
      </c>
      <c r="AO565" s="208">
        <f t="shared" si="855"/>
        <v>81.770833333333329</v>
      </c>
      <c r="AP565" s="1044">
        <v>1190</v>
      </c>
      <c r="AQ565" s="1047">
        <f t="shared" si="865"/>
        <v>71148.965625000012</v>
      </c>
      <c r="AR565" s="76">
        <f t="shared" si="856"/>
        <v>663.81562500000291</v>
      </c>
      <c r="AS565" s="230">
        <f t="shared" si="857"/>
        <v>27.65898437500012</v>
      </c>
      <c r="AT565" s="208">
        <f t="shared" si="866"/>
        <v>441.84374842963797</v>
      </c>
      <c r="AU565" s="1044"/>
      <c r="AV565" s="230">
        <f t="shared" si="867"/>
        <v>334.3595598132024</v>
      </c>
      <c r="AW565" s="855">
        <f t="shared" si="782"/>
        <v>0.46979166666666872</v>
      </c>
      <c r="AX565" s="1044"/>
      <c r="AY565" s="1044"/>
      <c r="AZ565" s="1044"/>
      <c r="BA565" s="1044"/>
      <c r="BB565" s="1044"/>
      <c r="BC565" s="1044"/>
      <c r="BD565" s="1044"/>
      <c r="BE565" s="1044"/>
      <c r="BF565" s="1044"/>
      <c r="BG565" s="1044"/>
      <c r="BH565" s="1044"/>
      <c r="BI565" s="1044"/>
      <c r="BJ565" s="1044"/>
      <c r="BK565" s="1044"/>
      <c r="BL565" s="1044"/>
      <c r="BM565" s="1044"/>
      <c r="BN565" s="1044"/>
      <c r="BO565" s="1044"/>
      <c r="BP565" s="1044"/>
      <c r="BQ565" s="1044"/>
      <c r="BR565" s="1044"/>
      <c r="BS565" s="1044"/>
      <c r="BT565" s="1044"/>
      <c r="BU565" s="1044"/>
      <c r="BV565" s="1044"/>
      <c r="BW565" s="1044">
        <v>50.5</v>
      </c>
      <c r="BX565" s="1044">
        <v>1231</v>
      </c>
      <c r="BY565" s="1054">
        <f t="shared" si="858"/>
        <v>32</v>
      </c>
      <c r="BZ565" s="1054">
        <f t="shared" si="859"/>
        <v>23.3125</v>
      </c>
      <c r="CA565" s="1044">
        <v>643</v>
      </c>
      <c r="CB565" s="1047">
        <f t="shared" si="744"/>
        <v>38882.03125</v>
      </c>
      <c r="CC565" s="208">
        <f t="shared" si="860"/>
        <v>429.296875</v>
      </c>
      <c r="CD565" s="208">
        <f t="shared" si="861"/>
        <v>17.887369791666668</v>
      </c>
      <c r="CE565" s="230">
        <f t="shared" si="868"/>
        <v>597.92186854426222</v>
      </c>
      <c r="CF565" s="1044"/>
      <c r="CG565" s="208">
        <f>CC565/(AVERAGE(BY565,BY566)*AVERAGE((D$556,D$550,D$529,D$549,D$535,D$537,D$542,D$525,D$528,D$563))*0.01)</f>
        <v>452.46966485253699</v>
      </c>
      <c r="CH565" s="855">
        <f t="shared" si="787"/>
        <v>0.57546497989276135</v>
      </c>
      <c r="CI565" s="1044"/>
      <c r="CJ565" s="1044"/>
      <c r="CK565" s="1044"/>
      <c r="CL565" s="1044"/>
      <c r="CM565" s="1044"/>
      <c r="CN565" s="1044"/>
    </row>
    <row r="566" spans="1:92">
      <c r="A566" s="1034">
        <f t="shared" si="823"/>
        <v>41721</v>
      </c>
      <c r="B566" s="1035"/>
      <c r="C566" s="854">
        <f t="shared" si="853"/>
        <v>24</v>
      </c>
      <c r="D566" s="1044"/>
      <c r="E566" s="1044"/>
      <c r="F566" s="1044"/>
      <c r="G566" s="1044"/>
      <c r="H566" s="1044"/>
      <c r="I566" s="1044"/>
      <c r="J566" s="1044"/>
      <c r="K566" s="1044"/>
      <c r="L566" s="1044"/>
      <c r="M566" s="1044"/>
      <c r="N566" s="1044"/>
      <c r="O566" s="1044"/>
      <c r="P566" s="1044"/>
      <c r="Q566" s="1044"/>
      <c r="R566" s="1044"/>
      <c r="S566" s="1044"/>
      <c r="T566" s="1044"/>
      <c r="U566" s="1044"/>
      <c r="V566" s="1044"/>
      <c r="W566" s="1044"/>
      <c r="X566" s="1044"/>
      <c r="Y566" s="1044"/>
      <c r="Z566" s="1044"/>
      <c r="AA566" s="1044"/>
      <c r="AB566" s="1044"/>
      <c r="AC566" s="1044"/>
      <c r="AD566" s="1044"/>
      <c r="AE566" s="1044"/>
      <c r="AF566" s="1044"/>
      <c r="AG566" s="1044"/>
      <c r="AH566" s="1044"/>
      <c r="AI566" s="1044"/>
      <c r="AJ566" s="1044"/>
      <c r="AK566" s="1044"/>
      <c r="AL566" s="1044">
        <v>35.5</v>
      </c>
      <c r="AM566" s="1044">
        <v>2055</v>
      </c>
      <c r="AN566" s="208">
        <f t="shared" si="854"/>
        <v>116.64000000000001</v>
      </c>
      <c r="AO566" s="208">
        <f t="shared" si="855"/>
        <v>12.114197530864196</v>
      </c>
      <c r="AP566" s="1044">
        <v>1214</v>
      </c>
      <c r="AQ566" s="1047">
        <f t="shared" si="865"/>
        <v>72597.290625000009</v>
      </c>
      <c r="AR566" s="76">
        <f t="shared" si="856"/>
        <v>1448.3249999999971</v>
      </c>
      <c r="AS566" s="230">
        <f t="shared" si="857"/>
        <v>60.346874999999876</v>
      </c>
      <c r="AT566" s="208">
        <f t="shared" si="866"/>
        <v>737.8939367713773</v>
      </c>
      <c r="AU566" s="1044"/>
      <c r="AV566" s="230">
        <f t="shared" si="867"/>
        <v>558.39172278568117</v>
      </c>
      <c r="AW566" s="855">
        <f t="shared" si="782"/>
        <v>1.0249999999999979</v>
      </c>
      <c r="AX566" s="1044"/>
      <c r="AY566" s="1044"/>
      <c r="AZ566" s="1044"/>
      <c r="BA566" s="1044"/>
      <c r="BB566" s="1044"/>
      <c r="BC566" s="1044"/>
      <c r="BD566" s="1044"/>
      <c r="BE566" s="1044"/>
      <c r="BF566" s="1044"/>
      <c r="BG566" s="1044"/>
      <c r="BH566" s="1044"/>
      <c r="BI566" s="1044"/>
      <c r="BJ566" s="1044"/>
      <c r="BK566" s="1044"/>
      <c r="BL566" s="1044"/>
      <c r="BM566" s="1044"/>
      <c r="BN566" s="1044"/>
      <c r="BO566" s="1044"/>
      <c r="BP566" s="1044"/>
      <c r="BQ566" s="1044"/>
      <c r="BR566" s="1044"/>
      <c r="BS566" s="1044"/>
      <c r="BT566" s="1044"/>
      <c r="BU566" s="1044"/>
      <c r="BV566" s="1044"/>
      <c r="BW566" s="1044">
        <v>50.4</v>
      </c>
      <c r="BX566" s="1044">
        <v>1247</v>
      </c>
      <c r="BY566" s="1054">
        <f t="shared" si="858"/>
        <v>32</v>
      </c>
      <c r="BZ566" s="1054">
        <f t="shared" si="859"/>
        <v>23.3125</v>
      </c>
      <c r="CA566" s="1044">
        <v>653</v>
      </c>
      <c r="CB566" s="1047">
        <f t="shared" si="744"/>
        <v>39495.3125</v>
      </c>
      <c r="CC566" s="208">
        <f t="shared" si="860"/>
        <v>613.28125</v>
      </c>
      <c r="CD566" s="208">
        <f t="shared" si="861"/>
        <v>25.553385416666668</v>
      </c>
      <c r="CE566" s="230">
        <f t="shared" si="868"/>
        <v>854.17409792037461</v>
      </c>
      <c r="CF566" s="1044"/>
      <c r="CG566" s="208">
        <f>CC566/(AVERAGE(BY566,BY567)*AVERAGE((D$556,D$550,D$529,D$549,D$535,D$537,D$542,D$525,D$528,D$563))*0.01)</f>
        <v>646.38523550362436</v>
      </c>
      <c r="CH566" s="855">
        <f t="shared" si="787"/>
        <v>0.82209282841823061</v>
      </c>
      <c r="CI566" s="1044"/>
      <c r="CJ566" s="1044"/>
      <c r="CK566" s="1044"/>
      <c r="CL566" s="1044"/>
      <c r="CM566" s="1044"/>
      <c r="CN566" s="1044"/>
    </row>
    <row r="567" spans="1:92">
      <c r="A567" s="1034">
        <f t="shared" si="823"/>
        <v>41722</v>
      </c>
      <c r="B567" s="1035"/>
      <c r="C567" s="854">
        <f t="shared" si="853"/>
        <v>24</v>
      </c>
      <c r="D567" s="1044"/>
      <c r="E567" s="1044"/>
      <c r="F567" s="1044"/>
      <c r="G567" s="1044"/>
      <c r="H567" s="1044"/>
      <c r="I567" s="1044"/>
      <c r="J567" s="1044"/>
      <c r="K567" s="1044"/>
      <c r="L567" s="1044"/>
      <c r="M567" s="1044"/>
      <c r="N567" s="1044"/>
      <c r="O567" s="1044"/>
      <c r="P567" s="1044"/>
      <c r="Q567" s="1044"/>
      <c r="R567" s="1044"/>
      <c r="S567" s="1044"/>
      <c r="T567" s="1044"/>
      <c r="U567" s="1044"/>
      <c r="V567" s="1044"/>
      <c r="W567" s="1044"/>
      <c r="X567" s="1044"/>
      <c r="Y567" s="1044"/>
      <c r="Z567" s="1044"/>
      <c r="AA567" s="1044"/>
      <c r="AB567" s="1044"/>
      <c r="AC567" s="1044"/>
      <c r="AD567" s="1044"/>
      <c r="AE567" s="1044"/>
      <c r="AF567" s="1044"/>
      <c r="AG567" s="1044"/>
      <c r="AH567" s="1044"/>
      <c r="AI567" s="1044"/>
      <c r="AJ567" s="1044"/>
      <c r="AK567" s="1044"/>
      <c r="AL567" s="1044">
        <v>35.799999999999997</v>
      </c>
      <c r="AM567" s="1044">
        <v>2082</v>
      </c>
      <c r="AN567" s="208">
        <f t="shared" si="854"/>
        <v>58.320000000000007</v>
      </c>
      <c r="AO567" s="208">
        <f t="shared" si="855"/>
        <v>24.228395061728392</v>
      </c>
      <c r="AP567" s="1044">
        <v>1234</v>
      </c>
      <c r="AQ567" s="1047">
        <f t="shared" si="865"/>
        <v>73804.228125000009</v>
      </c>
      <c r="AR567" s="76">
        <f t="shared" si="856"/>
        <v>1206.9375</v>
      </c>
      <c r="AS567" s="230">
        <f t="shared" si="857"/>
        <v>50.2890625</v>
      </c>
      <c r="AT567" s="208">
        <f t="shared" si="866"/>
        <v>1277.1241213350786</v>
      </c>
      <c r="AU567" s="1044"/>
      <c r="AV567" s="230">
        <f t="shared" si="867"/>
        <v>966.44721251368105</v>
      </c>
      <c r="AW567" s="855">
        <f t="shared" si="782"/>
        <v>0.85416666666666663</v>
      </c>
      <c r="AX567" s="1044"/>
      <c r="AY567" s="1044"/>
      <c r="AZ567" s="1044"/>
      <c r="BA567" s="1044"/>
      <c r="BB567" s="1044"/>
      <c r="BC567" s="1044"/>
      <c r="BD567" s="1044"/>
      <c r="BE567" s="1044"/>
      <c r="BF567" s="1044"/>
      <c r="BG567" s="1044"/>
      <c r="BH567" s="1044"/>
      <c r="BI567" s="1044"/>
      <c r="BJ567" s="1044"/>
      <c r="BK567" s="1044"/>
      <c r="BL567" s="1044"/>
      <c r="BM567" s="1044"/>
      <c r="BN567" s="1044"/>
      <c r="BO567" s="1044"/>
      <c r="BP567" s="1044"/>
      <c r="BQ567" s="1044"/>
      <c r="BR567" s="1044"/>
      <c r="BS567" s="1044"/>
      <c r="BT567" s="1044"/>
      <c r="BU567" s="1044"/>
      <c r="BV567" s="1044"/>
      <c r="BW567" s="1044">
        <v>50.6</v>
      </c>
      <c r="BX567" s="1044">
        <v>1263</v>
      </c>
      <c r="BY567" s="1054">
        <f t="shared" si="858"/>
        <v>32</v>
      </c>
      <c r="BZ567" s="1054">
        <f t="shared" si="859"/>
        <v>23.3125</v>
      </c>
      <c r="CA567" s="1044">
        <v>663</v>
      </c>
      <c r="CB567" s="1047">
        <f t="shared" si="744"/>
        <v>40108.59375</v>
      </c>
      <c r="CC567" s="208">
        <f t="shared" si="860"/>
        <v>613.28125</v>
      </c>
      <c r="CD567" s="208">
        <f t="shared" si="861"/>
        <v>25.553385416666668</v>
      </c>
      <c r="CE567" s="230">
        <f t="shared" si="868"/>
        <v>854.17409792037461</v>
      </c>
      <c r="CF567" s="1044"/>
      <c r="CG567" s="208">
        <f>CC567/(AVERAGE(BY567,BY568)*AVERAGE((D$556,D$550,D$529,D$549,D$535,D$537,D$542,D$525,D$528,D$563))*0.01)</f>
        <v>646.38523550362436</v>
      </c>
      <c r="CH567" s="855">
        <f t="shared" si="787"/>
        <v>0.82209282841823061</v>
      </c>
      <c r="CI567" s="1044"/>
      <c r="CJ567" s="1044"/>
      <c r="CK567" s="1044"/>
      <c r="CL567" s="1044"/>
      <c r="CM567" s="1044"/>
      <c r="CN567" s="1044"/>
    </row>
    <row r="568" spans="1:92" s="584" customFormat="1">
      <c r="A568" s="1079">
        <f t="shared" si="823"/>
        <v>41723</v>
      </c>
      <c r="B568" s="1080"/>
      <c r="C568" s="1081">
        <f t="shared" si="853"/>
        <v>24</v>
      </c>
      <c r="D568" s="1091">
        <v>3.0945510810019679</v>
      </c>
      <c r="E568" s="1091">
        <v>72.972972972972997</v>
      </c>
      <c r="F568" s="1082"/>
      <c r="G568" s="1084">
        <v>5.99</v>
      </c>
      <c r="H568" s="1082"/>
      <c r="I568" s="1082"/>
      <c r="J568" s="1082"/>
      <c r="K568" s="1082"/>
      <c r="L568" s="1082"/>
      <c r="M568" s="1082">
        <v>60</v>
      </c>
      <c r="N568" s="1082"/>
      <c r="O568" s="1082"/>
      <c r="P568" s="1082"/>
      <c r="Q568" s="1082"/>
      <c r="R568" s="1082"/>
      <c r="S568" s="1082"/>
      <c r="T568" s="1082"/>
      <c r="U568" s="1082"/>
      <c r="V568" s="1092">
        <v>1.7950575545359444</v>
      </c>
      <c r="W568" s="1092">
        <v>63.901345291479579</v>
      </c>
      <c r="X568" s="1082"/>
      <c r="Y568" s="1082"/>
      <c r="Z568" s="1082"/>
      <c r="AA568" s="1082"/>
      <c r="AB568" s="1082"/>
      <c r="AC568" s="1082"/>
      <c r="AD568" s="1021">
        <f>D563*(100-E563)/(100-W568)</f>
        <v>1.9873316770186198</v>
      </c>
      <c r="AE568" s="1055">
        <f>D563-V568</f>
        <v>1.6049424454640555</v>
      </c>
      <c r="AF568" s="847">
        <f>100*(AVERAGE(D$556,D$550,D$529,D$549,D$535,D$537,D$542,D$568,D$528,D$563)-V568)/AVERAGE(D$556,D$550,D$529,D$549,D$535,D$537,D$542,D$568,D$528,D$563)</f>
        <v>40.053073048545123</v>
      </c>
      <c r="AG568" s="847">
        <f>100*(1-((100-AVERAGE(E$556,E$550,E$529,E$549,E$535,E$537,E$542,E$568,E$528,E$563))/(100-W568)))</f>
        <v>30.47111524679821</v>
      </c>
      <c r="AH568" s="1055">
        <f>E563-W568</f>
        <v>14.998654708520426</v>
      </c>
      <c r="AI568" s="847">
        <f>100*(1-((V568*W568)/(AVERAGE(D$556,D$550,D$529,D$549,D$535,D$537,D$542,D$568,D$528,D$563)*AVERAGE(E$556,E$550,E$529,E$549,E$535,E$537,E$542,E$568,E$528,E$563))))</f>
        <v>48.856639154853568</v>
      </c>
      <c r="AJ568" s="847">
        <f>100*100*((AVERAGE(E$556,E$550,E$529,E$549,E$535,E$537,E$542,E$568,E$528,E$563)-W568)/((100-W568)*AVERAGE(E$556,E$550,E$529,E$549,E$535,E$537,E$542,E$568,E$528,E$563)))</f>
        <v>40.681849380315924</v>
      </c>
      <c r="AK568" s="1084">
        <v>7.06</v>
      </c>
      <c r="AL568" s="1082">
        <v>35.700000000000003</v>
      </c>
      <c r="AM568" s="1082">
        <v>2094</v>
      </c>
      <c r="AN568" s="208">
        <f t="shared" ref="AN568:AN577" si="869">(AM568-AM567)*AQ$1/((C567)/24)</f>
        <v>25.92</v>
      </c>
      <c r="AO568" s="208">
        <f t="shared" ref="AO568:AO577" si="870">AQ$3/AN568</f>
        <v>54.513888888888886</v>
      </c>
      <c r="AP568" s="1082">
        <v>1249</v>
      </c>
      <c r="AQ568" s="1047">
        <f t="shared" ref="AQ568:AQ577" si="871">((AP568-AP$489)*AQ$2)</f>
        <v>74709.431250000009</v>
      </c>
      <c r="AR568" s="76">
        <f t="shared" ref="AR568:AR577" si="872">(AQ568-AQ567)/(C568/24)</f>
        <v>905.203125</v>
      </c>
      <c r="AS568" s="230">
        <f t="shared" ref="AS568:AS577" si="873">(AQ568-AQ567)/C568</f>
        <v>37.716796875</v>
      </c>
      <c r="AT568" s="208">
        <f>AR568/(AVERAGE(AN568,AN569)*(AVERAGE(D$556,D$550,D$529,D$549,D$535,D$537,D$542,D$568,D$528,D$563))*AVERAGE(E$556,E$550,E$529,E$549,E$535,E$537,E$542,E$568,E$528,E$563)*0.0001)</f>
        <v>934.25016363831026</v>
      </c>
      <c r="AU568" s="597">
        <f>(AQ568-AQ562)/(AVERAGE(AN562:AN568)*((AVERAGE(D$556,D$550,D$529,D$549,D$535,D$537,D$542,D$568,D$528,D$563)*AVERAGE(E$556,E$550,E$529,E$549,E$535,E$537,E$542,E$568,E$528,E$563))-(V568*W568))*0.0001*(SUM(C562:C568)/24))</f>
        <v>1683.7224606666541</v>
      </c>
      <c r="AV568" s="230">
        <f>AR568/(AVERAGE(AN569,AN568)*AVERAGE(D$556,D$550,D$529,D$549,D$535,D$537,D$542,D$568,D$528,D$563)*0.01)</f>
        <v>699.76278952886594</v>
      </c>
      <c r="AW568" s="855">
        <f t="shared" si="782"/>
        <v>0.640625</v>
      </c>
      <c r="AX568" s="1082">
        <v>70.099999999999994</v>
      </c>
      <c r="AY568" s="1082">
        <v>29.8</v>
      </c>
      <c r="AZ568" s="1082">
        <v>0</v>
      </c>
      <c r="BA568" s="1082">
        <v>8</v>
      </c>
      <c r="BB568" s="1082">
        <v>50</v>
      </c>
      <c r="BC568" s="1082"/>
      <c r="BD568" s="1082"/>
      <c r="BE568" s="1082"/>
      <c r="BF568" s="1082"/>
      <c r="BG568" s="1091">
        <v>1.6984725407128161</v>
      </c>
      <c r="BH568" s="1091">
        <v>63.615560640732227</v>
      </c>
      <c r="BI568" s="1082"/>
      <c r="BJ568" s="1082"/>
      <c r="BK568" s="1082"/>
      <c r="BL568" s="1082"/>
      <c r="BM568" s="1082"/>
      <c r="BN568" s="1082"/>
      <c r="BO568" s="847">
        <f>D563*(100-E563)/(100-BH568)</f>
        <v>1.9717220125786137</v>
      </c>
      <c r="BP568" s="1055">
        <f>D563-BG568</f>
        <v>1.7015274592871839</v>
      </c>
      <c r="BQ568" s="1056">
        <f>100*(AVERAGE(D$556,D$550,D$529,D$549,D$535,D$537,D$542,D$568,D$528,D$563)-BG568)/AVERAGE(D$556,D$550,D$529,D$549,D$535,D$537,D$542,D$568,D$528,D$563)</f>
        <v>43.278582310701985</v>
      </c>
      <c r="BR568" s="1056">
        <f>100*(1-((100-AVERAGE(E$556,E$550,E$529,E$549,E$535,E$537,E$542,E$568,E$528,E$563))/(100-BH568)))</f>
        <v>31.017235742151826</v>
      </c>
      <c r="BS568" s="1055">
        <f>E563-BH568</f>
        <v>15.284439359267779</v>
      </c>
      <c r="BT568" s="1055">
        <f>100*(1-((BG568*BH568)/(AVERAGE(D$556,D$550,D$529,D$549,D$535,D$537,D$542,D$568,D$528,D$563)*AVERAGE(E$556,E$550,E$529,E$549,E$535,E$537,E$542,E$568,E$528,E$563))))</f>
        <v>51.824883477205908</v>
      </c>
      <c r="BU568" s="847">
        <f>100*100*((AVERAGE(E$556,E$550,E$529,E$549,E$535,E$537,E$542,E$568,E$528,E$563)-BH568)/((100-BH568)*AVERAGE(E$556,E$550,E$529,E$549,E$535,E$537,E$542,E$568,E$528,E$563)))</f>
        <v>41.410972405696945</v>
      </c>
      <c r="BV568" s="1084">
        <v>7.2</v>
      </c>
      <c r="BW568" s="1082">
        <v>50.6</v>
      </c>
      <c r="BX568" s="1082">
        <v>1279</v>
      </c>
      <c r="BY568" s="1054">
        <f t="shared" ref="BY568:BY577" si="874">(BX568-BX567)*CB$1/((C568)/24)</f>
        <v>32</v>
      </c>
      <c r="BZ568" s="1054">
        <f t="shared" ref="BZ568:BZ577" si="875">CB$3/BY568</f>
        <v>23.3125</v>
      </c>
      <c r="CA568" s="1082">
        <v>673</v>
      </c>
      <c r="CB568" s="1047">
        <f t="shared" ref="CB568:CB577" si="876">((CA568-CA$489)*CB$2)</f>
        <v>40721.875</v>
      </c>
      <c r="CC568" s="208">
        <f t="shared" ref="CC568:CC577" si="877">(CB568-CB567)/((C568/24))</f>
        <v>613.28125</v>
      </c>
      <c r="CD568" s="208">
        <f t="shared" ref="CD568:CD577" si="878">(CB568-CB567)/(C568)</f>
        <v>25.553385416666668</v>
      </c>
      <c r="CE568" s="230">
        <f>CC568/(AVERAGE(BY569,BY568)*(AVERAGE(D$556,D$550,D$529,D$549,D$535,D$537,D$542,D$568,D$528,D$563))*AVERAGE(E$556,E$550,E$529,E$549,E$535,E$537,E$542,E$568,E$528,E$563)*0.0001)</f>
        <v>854.49710088869847</v>
      </c>
      <c r="CF568" s="334">
        <f>(CB568-CB562)/(AVERAGE(BY562:BY568)*((AVERAGE(D$556,D$550,D$529,D$549,D$535,D$537,D$542,D$568,D$528,D$563)*AVERAGE(E$556,E$550,E$529,E$549,E$535,E$537,E$542,E$568,E$528,E$563))-(BG568*BH568))*0.0001*(SUM(C562:C568)/24))</f>
        <v>1295.4984830115225</v>
      </c>
      <c r="CG568" s="208">
        <f>CC568/(AVERAGE(BY568,BY569)*AVERAGE((D$556,D$550,D$529,D$549,D$535,D$537,D$542,D$568,D$528,D$563))*0.01)</f>
        <v>640.02694164225557</v>
      </c>
      <c r="CH568" s="855">
        <f t="shared" si="787"/>
        <v>0.82209282841823061</v>
      </c>
      <c r="CI568" s="1082">
        <v>69.7</v>
      </c>
      <c r="CJ568" s="1082">
        <v>30.2</v>
      </c>
      <c r="CK568" s="1082">
        <v>0</v>
      </c>
      <c r="CL568" s="1082">
        <v>12</v>
      </c>
      <c r="CM568" s="1082">
        <v>155</v>
      </c>
      <c r="CN568" s="1082"/>
    </row>
    <row r="569" spans="1:92">
      <c r="A569" s="1034">
        <f t="shared" si="823"/>
        <v>41724</v>
      </c>
      <c r="B569" s="1035"/>
      <c r="C569" s="854">
        <f t="shared" si="853"/>
        <v>24</v>
      </c>
      <c r="D569" s="1044"/>
      <c r="E569" s="1044"/>
      <c r="F569" s="1044"/>
      <c r="G569" s="1044"/>
      <c r="H569" s="1044"/>
      <c r="I569" s="1044"/>
      <c r="J569" s="1044"/>
      <c r="K569" s="1044"/>
      <c r="L569" s="1044"/>
      <c r="M569" s="1044"/>
      <c r="N569" s="1044"/>
      <c r="O569" s="1044"/>
      <c r="P569" s="1044"/>
      <c r="Q569" s="1044"/>
      <c r="R569" s="1044"/>
      <c r="S569" s="1044"/>
      <c r="T569" s="1044"/>
      <c r="U569" s="1044"/>
      <c r="V569" s="1044"/>
      <c r="W569" s="1044"/>
      <c r="X569" s="1044"/>
      <c r="Y569" s="1044"/>
      <c r="Z569" s="1044"/>
      <c r="AA569" s="1044"/>
      <c r="AB569" s="1044"/>
      <c r="AC569" s="1044"/>
      <c r="AD569" s="1044"/>
      <c r="AE569" s="1044"/>
      <c r="AF569" s="1044"/>
      <c r="AG569" s="1044"/>
      <c r="AH569" s="1044"/>
      <c r="AI569" s="1044"/>
      <c r="AJ569" s="1044"/>
      <c r="AK569" s="1044"/>
      <c r="AL569" s="1044">
        <v>35.6</v>
      </c>
      <c r="AM569" s="1044">
        <v>2122</v>
      </c>
      <c r="AN569" s="208">
        <f t="shared" si="869"/>
        <v>60.480000000000004</v>
      </c>
      <c r="AO569" s="208">
        <f t="shared" si="870"/>
        <v>23.363095238095237</v>
      </c>
      <c r="AP569" s="1044">
        <v>1267</v>
      </c>
      <c r="AQ569" s="1047">
        <f t="shared" si="871"/>
        <v>75795.675000000003</v>
      </c>
      <c r="AR569" s="76">
        <f t="shared" si="872"/>
        <v>1086.2437499999942</v>
      </c>
      <c r="AS569" s="230">
        <f t="shared" si="873"/>
        <v>45.26015624999976</v>
      </c>
      <c r="AT569" s="208">
        <f t="shared" ref="AT569" si="879">AR569/(AVERAGE(AN569,AN570)*(AVERAGE(D$556,D$550,D$529,D$549,D$535,D$537,D$542,D$568,D$528,D$563))*AVERAGE(E$556,E$550,E$529,E$549,E$535,E$537,E$542,E$568,E$528,E$563)*0.0001)</f>
        <v>649.91315731360362</v>
      </c>
      <c r="AU569" s="1044"/>
      <c r="AV569" s="230">
        <f t="shared" ref="AV569" si="880">AR569/(AVERAGE(AN570,AN569)*AVERAGE(D$556,D$550,D$529,D$549,D$535,D$537,D$542,D$568,D$528,D$563)*0.01)</f>
        <v>486.79150575920846</v>
      </c>
      <c r="AW569" s="855">
        <f t="shared" ref="AW569:AW632" si="881">AR569/AQ$3</f>
        <v>0.76874999999999583</v>
      </c>
      <c r="AX569" s="1044"/>
      <c r="AY569" s="1044"/>
      <c r="AZ569" s="1044"/>
      <c r="BA569" s="1044"/>
      <c r="BB569" s="1044"/>
      <c r="BC569" s="1044"/>
      <c r="BD569" s="1044"/>
      <c r="BE569" s="1044"/>
      <c r="BF569" s="1044"/>
      <c r="BG569" s="1044"/>
      <c r="BH569" s="1044"/>
      <c r="BI569" s="1044"/>
      <c r="BJ569" s="1044"/>
      <c r="BK569" s="1044"/>
      <c r="BL569" s="1044"/>
      <c r="BM569" s="1044"/>
      <c r="BN569" s="1044"/>
      <c r="BO569" s="1044"/>
      <c r="BP569" s="1044"/>
      <c r="BQ569" s="1044"/>
      <c r="BR569" s="1044"/>
      <c r="BS569" s="1044"/>
      <c r="BT569" s="1044"/>
      <c r="BU569" s="1044"/>
      <c r="BV569" s="1044"/>
      <c r="BW569" s="1044">
        <v>50.6</v>
      </c>
      <c r="BX569" s="1044">
        <v>1295</v>
      </c>
      <c r="BY569" s="1054">
        <f t="shared" si="874"/>
        <v>32</v>
      </c>
      <c r="BZ569" s="1054">
        <f t="shared" si="875"/>
        <v>23.3125</v>
      </c>
      <c r="CA569" s="1044">
        <v>682</v>
      </c>
      <c r="CB569" s="1047">
        <f t="shared" si="876"/>
        <v>41273.828125</v>
      </c>
      <c r="CC569" s="208">
        <f t="shared" si="877"/>
        <v>551.953125</v>
      </c>
      <c r="CD569" s="208">
        <f t="shared" si="878"/>
        <v>22.998046875</v>
      </c>
      <c r="CE569" s="230">
        <f t="shared" ref="CE569" si="882">CC569/(AVERAGE(BY570,BY569)*(AVERAGE(D$556,D$550,D$529,D$549,D$535,D$537,D$542,D$568,D$528,D$563))*AVERAGE(E$556,E$550,E$529,E$549,E$535,E$537,E$542,E$568,E$528,E$563)*0.0001)</f>
        <v>769.04739079982858</v>
      </c>
      <c r="CF569" s="1044"/>
      <c r="CG569" s="208">
        <f>CC569/(AVERAGE(BY569,BY570)*AVERAGE((D$556,D$550,D$529,D$549,D$535,D$537,D$542,D$568,D$528,D$563))*0.01)</f>
        <v>576.02424747803002</v>
      </c>
      <c r="CH569" s="855">
        <f t="shared" ref="CH569:CH583" si="883">CC569/CB$3</f>
        <v>0.73988354557640745</v>
      </c>
      <c r="CI569" s="1044"/>
      <c r="CJ569" s="1044"/>
      <c r="CK569" s="1044"/>
      <c r="CL569" s="1044"/>
      <c r="CM569" s="1044"/>
      <c r="CN569" s="1044"/>
    </row>
    <row r="570" spans="1:92" s="1090" customFormat="1">
      <c r="A570" s="1086">
        <f t="shared" si="823"/>
        <v>41725</v>
      </c>
      <c r="B570" s="1087"/>
      <c r="C570" s="1088">
        <f t="shared" si="853"/>
        <v>24</v>
      </c>
      <c r="D570" s="1089">
        <v>2.6</v>
      </c>
      <c r="E570" s="1089">
        <v>77.7</v>
      </c>
      <c r="F570" s="1089">
        <v>34900</v>
      </c>
      <c r="G570" s="1089"/>
      <c r="H570" s="1089"/>
      <c r="I570" s="1089">
        <v>5861</v>
      </c>
      <c r="J570" s="1089"/>
      <c r="K570" s="1089"/>
      <c r="L570" s="1089"/>
      <c r="M570" s="1089"/>
      <c r="N570" s="1089"/>
      <c r="O570" s="1089"/>
      <c r="P570" s="1089"/>
      <c r="Q570" s="1089"/>
      <c r="R570" s="1089"/>
      <c r="S570" s="1089"/>
      <c r="T570" s="1089"/>
      <c r="U570" s="1089"/>
      <c r="V570" s="1089">
        <v>1.9</v>
      </c>
      <c r="W570" s="1089">
        <v>64.8</v>
      </c>
      <c r="X570" s="1089">
        <v>19700</v>
      </c>
      <c r="Y570" s="1089"/>
      <c r="Z570" s="1089">
        <v>1032</v>
      </c>
      <c r="AA570" s="1089"/>
      <c r="AB570" s="1089"/>
      <c r="AC570" s="1089"/>
      <c r="AD570" s="1021">
        <f>D568*(100-E568)/(100-W570)</f>
        <v>2.3760373779191992</v>
      </c>
      <c r="AE570" s="1055">
        <f>D568-V570</f>
        <v>1.1945510810019679</v>
      </c>
      <c r="AF570" s="847">
        <f>100*(AVERAGE(D$556,D$550,D$529,D$549,D$535,D$537,D$542,D$568,D$570,D$563)-V570)/AVERAGE(D$556,D$550,D$529,D$549,D$535,D$537,D$542,D$568,D$570,D$563)</f>
        <v>36.121813412025418</v>
      </c>
      <c r="AG570" s="847">
        <f>100*(1-((100-AVERAGE(E$556,E$550,E$529,E$549,E$535,E$537,E$542,E$568,E$570,E$563))/(100-W570)))</f>
        <v>29.292636279138062</v>
      </c>
      <c r="AH570" s="1055">
        <f>E568-W570</f>
        <v>8.1729729729729996</v>
      </c>
      <c r="AI570" s="847">
        <f>100*(1-((V570*W570)/(AVERAGE(D$556,D$550,D$529,D$549,D$535,D$537,D$542,D$568,D$570,D$563)*AVERAGE(E$556,E$550,E$529,E$549,E$535,E$537,E$542,E$568,E$570,E$563))))</f>
        <v>44.890814239373711</v>
      </c>
      <c r="AJ570" s="847">
        <f>100*100*((AVERAGE(E$556,E$550,E$529,E$549,E$535,E$537,E$542,E$568,E$570,E$563)-W570)/((100-W570)*AVERAGE(E$556,E$550,E$529,E$549,E$535,E$537,E$542,E$568,E$570,E$563)))</f>
        <v>38.999125521971067</v>
      </c>
      <c r="AK570" s="1089"/>
      <c r="AL570" s="1089">
        <v>35.6</v>
      </c>
      <c r="AM570" s="1089">
        <v>2163</v>
      </c>
      <c r="AN570" s="208">
        <f t="shared" si="869"/>
        <v>88.56</v>
      </c>
      <c r="AO570" s="208">
        <f t="shared" si="870"/>
        <v>15.955284552845528</v>
      </c>
      <c r="AP570" s="1089">
        <v>1290</v>
      </c>
      <c r="AQ570" s="1047">
        <f t="shared" si="871"/>
        <v>77183.653125000012</v>
      </c>
      <c r="AR570" s="76">
        <f t="shared" si="872"/>
        <v>1387.9781250000087</v>
      </c>
      <c r="AS570" s="230">
        <f t="shared" si="873"/>
        <v>57.832421875000364</v>
      </c>
      <c r="AT570" s="208">
        <f>AR570/(AVERAGE(AN570,AN571)*(AVERAGE(D$556,D$550,D$529,D$549,D$535,D$537,D$542,D$568,D$570,D$563))*AVERAGE(E$556,E$550,E$529,E$549,E$535,E$537,E$542,E$568,E$570,E$563)*0.0001)</f>
        <v>833.69109542038575</v>
      </c>
      <c r="AU570" s="597">
        <f>(AQ570-AQ564)/(AVERAGE(AN564:AN570)*((AVERAGE(D$556,D$550,D$529,D$549,D$535,D$537,D$542,D$568,D$570,D$563)*AVERAGE(E$556,E$550,E$529,E$549,E$535,E$537,E$542,E$568,E$570,E$563))-(V570*W570))*0.0001*(SUM(C564:C570)/24))</f>
        <v>1746.982890119391</v>
      </c>
      <c r="AV570" s="230">
        <f>AR570/(AVERAGE(AN571,AN570)*AVERAGE(D$556,D$550,D$529,D$549,D$535,D$537,D$542,D$568,D$570,D$563)*0.01)</f>
        <v>626.19378512852541</v>
      </c>
      <c r="AW570" s="855">
        <f t="shared" si="881"/>
        <v>0.98229166666667289</v>
      </c>
      <c r="AX570" s="1089"/>
      <c r="AY570" s="1089"/>
      <c r="AZ570" s="1089"/>
      <c r="BA570" s="1089"/>
      <c r="BB570" s="1089"/>
      <c r="BC570" s="1089"/>
      <c r="BD570" s="1089"/>
      <c r="BE570" s="1089"/>
      <c r="BF570" s="1089"/>
      <c r="BG570" s="1089">
        <v>1.9</v>
      </c>
      <c r="BH570" s="1089">
        <v>62.5</v>
      </c>
      <c r="BI570" s="1089">
        <v>22300</v>
      </c>
      <c r="BJ570" s="1089"/>
      <c r="BK570" s="1089">
        <v>2043</v>
      </c>
      <c r="BL570" s="1089"/>
      <c r="BM570" s="1089"/>
      <c r="BN570" s="1089"/>
      <c r="BO570" s="847">
        <f>D568*(100-E568)/(100-BH570)</f>
        <v>2.2303070854068219</v>
      </c>
      <c r="BP570" s="1055">
        <f>D568-BG570</f>
        <v>1.1945510810019679</v>
      </c>
      <c r="BQ570" s="1056">
        <f>100*(AVERAGE(D$556,D$550,D$529,D$549,D$535,D$537,D$542,D$568,D$570,D$563)-BG570)/AVERAGE(D$556,D$550,D$529,D$549,D$535,D$537,D$542,D$568,D$570,D$563)</f>
        <v>36.121813412025418</v>
      </c>
      <c r="BR570" s="1056">
        <f>100*(1-((100-AVERAGE(E$556,E$550,E$529,E$549,E$535,E$537,E$542,E$568,E$570,E$563))/(100-BH570)))</f>
        <v>33.62935458735091</v>
      </c>
      <c r="BS570" s="1055">
        <f>E568-BH570</f>
        <v>10.472972972972997</v>
      </c>
      <c r="BT570" s="1055">
        <f>100*(1-((BG570*BH570)/(AVERAGE(D$556,D$550,D$529,D$549,D$535,D$537,D$542,D$568,D$570,D$563)*AVERAGE(E$556,E$550,E$529,E$549,E$535,E$537,E$542,E$568,E$570,E$563))))</f>
        <v>46.846850153716922</v>
      </c>
      <c r="BU570" s="847">
        <f>100*100*((AVERAGE(E$556,E$550,E$529,E$549,E$535,E$537,E$542,E$568,E$570,E$563)-BH570)/((100-BH570)*AVERAGE(E$556,E$550,E$529,E$549,E$535,E$537,E$542,E$568,E$570,E$563)))</f>
        <v>44.772870842936761</v>
      </c>
      <c r="BV570" s="1089"/>
      <c r="BW570" s="1089">
        <v>50.5</v>
      </c>
      <c r="BX570" s="1089">
        <v>1311</v>
      </c>
      <c r="BY570" s="1054">
        <f t="shared" si="874"/>
        <v>32</v>
      </c>
      <c r="BZ570" s="1054">
        <f t="shared" si="875"/>
        <v>23.3125</v>
      </c>
      <c r="CA570" s="1089">
        <v>692</v>
      </c>
      <c r="CB570" s="1047">
        <f t="shared" si="876"/>
        <v>41887.109375</v>
      </c>
      <c r="CC570" s="208">
        <f t="shared" si="877"/>
        <v>613.28125</v>
      </c>
      <c r="CD570" s="208">
        <f t="shared" si="878"/>
        <v>25.553385416666668</v>
      </c>
      <c r="CE570" s="230">
        <f>CC570/(AVERAGE(BY571,BY570)*(AVERAGE(D$556,D$550,D$529,D$549,D$535,D$537,D$542,D$568,D$570,D$563))*AVERAGE(E$556,E$550,E$529,E$549,E$535,E$537,E$542,E$568,E$570,E$563)*0.0001)</f>
        <v>857.83763629383668</v>
      </c>
      <c r="CF570" s="334">
        <f>(CB570-CB564)/(AVERAGE(BY564:BY570)*((AVERAGE(D$556,D$550,D$529,D$549,D$535,D$537,D$542,D$568,D$570,D$563)*AVERAGE(E$556,E$550,E$529,E$549,E$535,E$537,E$542,E$568,E$570,E$563))-(BG570*BH570))*0.0001*(SUM(C564:C570)/24))</f>
        <v>1464.9226293405754</v>
      </c>
      <c r="CG570" s="208">
        <f>CC570/(AVERAGE(BY570,BY571)*AVERAGE((D$556,D$550,D$529,D$549,D$535,D$537,D$542,D$568,D$570,D$563))*0.01)</f>
        <v>644.33049536852445</v>
      </c>
      <c r="CH570" s="855">
        <f t="shared" si="883"/>
        <v>0.82209282841823061</v>
      </c>
      <c r="CI570" s="1089"/>
      <c r="CJ570" s="1089"/>
      <c r="CK570" s="1089"/>
      <c r="CL570" s="1089"/>
      <c r="CM570" s="1089"/>
      <c r="CN570" s="1089"/>
    </row>
    <row r="571" spans="1:92">
      <c r="A571" s="1034">
        <f t="shared" si="823"/>
        <v>41726</v>
      </c>
      <c r="B571" s="1035"/>
      <c r="C571" s="854">
        <f t="shared" si="853"/>
        <v>24</v>
      </c>
      <c r="D571" s="1044"/>
      <c r="E571" s="1044"/>
      <c r="F571" s="1044"/>
      <c r="G571" s="1044"/>
      <c r="H571" s="1044"/>
      <c r="I571" s="1044"/>
      <c r="J571" s="1044"/>
      <c r="K571" s="1044"/>
      <c r="L571" s="1044"/>
      <c r="M571" s="1044"/>
      <c r="N571" s="1044"/>
      <c r="O571" s="1044"/>
      <c r="P571" s="1044"/>
      <c r="Q571" s="1044"/>
      <c r="R571" s="1044"/>
      <c r="S571" s="1044"/>
      <c r="T571" s="1044"/>
      <c r="U571" s="1044"/>
      <c r="V571" s="1044"/>
      <c r="W571" s="1044"/>
      <c r="X571" s="1044"/>
      <c r="Y571" s="1044"/>
      <c r="Z571" s="1044"/>
      <c r="AA571" s="1044"/>
      <c r="AB571" s="1044"/>
      <c r="AC571" s="1044"/>
      <c r="AD571" s="1044"/>
      <c r="AE571" s="1044"/>
      <c r="AF571" s="1044"/>
      <c r="AG571" s="1044"/>
      <c r="AH571" s="1044"/>
      <c r="AI571" s="1044"/>
      <c r="AJ571" s="1044"/>
      <c r="AK571" s="1044"/>
      <c r="AL571" s="1044">
        <v>35.799999999999997</v>
      </c>
      <c r="AM571" s="1044">
        <v>2191</v>
      </c>
      <c r="AN571" s="208">
        <f t="shared" si="869"/>
        <v>60.480000000000004</v>
      </c>
      <c r="AO571" s="208">
        <f t="shared" si="870"/>
        <v>23.363095238095237</v>
      </c>
      <c r="AP571" s="1044">
        <v>1310</v>
      </c>
      <c r="AQ571" s="1047">
        <f t="shared" si="871"/>
        <v>78390.590625000012</v>
      </c>
      <c r="AR571" s="76">
        <f t="shared" si="872"/>
        <v>1206.9375</v>
      </c>
      <c r="AS571" s="230">
        <f t="shared" si="873"/>
        <v>50.2890625</v>
      </c>
      <c r="AT571" s="208">
        <f t="shared" ref="AT571:AT577" si="884">AR571/(AVERAGE(AN571,AN572)*(AVERAGE(D$556,D$550,D$529,D$549,D$535,D$537,D$542,D$568,D$570,D$563))*AVERAGE(E$556,E$550,E$529,E$549,E$535,E$537,E$542,E$568,E$570,E$563)*0.0001)</f>
        <v>893.24045937897893</v>
      </c>
      <c r="AU571" s="1044"/>
      <c r="AV571" s="230">
        <f t="shared" ref="AV571:AV577" si="885">AR571/(AVERAGE(AN572,AN571)*AVERAGE(D$556,D$550,D$529,D$549,D$535,D$537,D$542,D$568,D$570,D$563)*0.01)</f>
        <v>670.92191263770155</v>
      </c>
      <c r="AW571" s="855">
        <f t="shared" si="881"/>
        <v>0.85416666666666663</v>
      </c>
      <c r="AX571" s="1044"/>
      <c r="AY571" s="1044"/>
      <c r="AZ571" s="1044"/>
      <c r="BA571" s="1044"/>
      <c r="BB571" s="1044"/>
      <c r="BC571" s="1044"/>
      <c r="BD571" s="1044"/>
      <c r="BE571" s="1044"/>
      <c r="BF571" s="1044"/>
      <c r="BG571" s="1044"/>
      <c r="BH571" s="1044"/>
      <c r="BI571" s="1044"/>
      <c r="BJ571" s="1044"/>
      <c r="BK571" s="1044"/>
      <c r="BL571" s="1044"/>
      <c r="BM571" s="1044"/>
      <c r="BN571" s="1044"/>
      <c r="BO571" s="1044"/>
      <c r="BP571" s="1044"/>
      <c r="BQ571" s="1044"/>
      <c r="BR571" s="1044"/>
      <c r="BS571" s="1044"/>
      <c r="BT571" s="1044"/>
      <c r="BU571" s="1044"/>
      <c r="BV571" s="1044"/>
      <c r="BW571" s="1044">
        <v>50.5</v>
      </c>
      <c r="BX571" s="1044">
        <v>1327</v>
      </c>
      <c r="BY571" s="1054">
        <f t="shared" si="874"/>
        <v>32</v>
      </c>
      <c r="BZ571" s="1054">
        <f t="shared" si="875"/>
        <v>23.3125</v>
      </c>
      <c r="CA571" s="1044">
        <v>702</v>
      </c>
      <c r="CB571" s="1047">
        <f t="shared" si="876"/>
        <v>42500.390625</v>
      </c>
      <c r="CC571" s="208">
        <f t="shared" si="877"/>
        <v>613.28125</v>
      </c>
      <c r="CD571" s="208">
        <f t="shared" si="878"/>
        <v>25.553385416666668</v>
      </c>
      <c r="CE571" s="230">
        <f t="shared" ref="CE571:CE577" si="886">CC571/(AVERAGE(BY572,BY571)*(AVERAGE(D$556,D$550,D$529,D$549,D$535,D$537,D$542,D$568,D$570,D$563))*AVERAGE(E$556,E$550,E$529,E$549,E$535,E$537,E$542,E$568,E$570,E$563)*0.0001)</f>
        <v>857.83763629383668</v>
      </c>
      <c r="CF571" s="1044"/>
      <c r="CG571" s="208">
        <f>CC571/(AVERAGE(BY571,BY572)*AVERAGE((D$556,D$550,D$529,D$549,D$535,D$537,D$542,D$568,D$570,D$563))*0.01)</f>
        <v>644.33049536852445</v>
      </c>
      <c r="CH571" s="855">
        <f t="shared" si="883"/>
        <v>0.82209282841823061</v>
      </c>
      <c r="CI571" s="1044"/>
      <c r="CJ571" s="1044"/>
      <c r="CK571" s="1044"/>
      <c r="CL571" s="1044"/>
      <c r="CM571" s="1044"/>
      <c r="CN571" s="1044"/>
    </row>
    <row r="572" spans="1:92">
      <c r="A572" s="1034">
        <f t="shared" si="823"/>
        <v>41727</v>
      </c>
      <c r="B572" s="1035"/>
      <c r="C572" s="854">
        <f t="shared" si="853"/>
        <v>24</v>
      </c>
      <c r="D572" s="1044"/>
      <c r="E572" s="1044"/>
      <c r="F572" s="1044"/>
      <c r="G572" s="1044"/>
      <c r="H572" s="1044"/>
      <c r="I572" s="1044"/>
      <c r="J572" s="1044"/>
      <c r="K572" s="1044"/>
      <c r="L572" s="1044"/>
      <c r="M572" s="1044"/>
      <c r="N572" s="1044"/>
      <c r="O572" s="1044"/>
      <c r="P572" s="1044"/>
      <c r="Q572" s="1044"/>
      <c r="R572" s="1044"/>
      <c r="S572" s="1044"/>
      <c r="T572" s="1044"/>
      <c r="U572" s="1044"/>
      <c r="V572" s="1044"/>
      <c r="W572" s="1044"/>
      <c r="X572" s="1044"/>
      <c r="Y572" s="1044"/>
      <c r="Z572" s="1044"/>
      <c r="AA572" s="1044"/>
      <c r="AB572" s="1044"/>
      <c r="AC572" s="1044"/>
      <c r="AD572" s="1044"/>
      <c r="AE572" s="1044"/>
      <c r="AF572" s="1044"/>
      <c r="AG572" s="1044"/>
      <c r="AH572" s="1044"/>
      <c r="AI572" s="1044"/>
      <c r="AJ572" s="1044"/>
      <c r="AK572" s="1044"/>
      <c r="AL572" s="1044">
        <v>35.9</v>
      </c>
      <c r="AM572" s="1044">
        <v>2219</v>
      </c>
      <c r="AN572" s="208">
        <f t="shared" si="869"/>
        <v>60.480000000000004</v>
      </c>
      <c r="AO572" s="208">
        <f t="shared" si="870"/>
        <v>23.363095238095237</v>
      </c>
      <c r="AP572" s="1044">
        <v>1330</v>
      </c>
      <c r="AQ572" s="1047">
        <f t="shared" si="871"/>
        <v>79597.528125000012</v>
      </c>
      <c r="AR572" s="76">
        <f t="shared" si="872"/>
        <v>1206.9375</v>
      </c>
      <c r="AS572" s="230">
        <f t="shared" si="873"/>
        <v>50.2890625</v>
      </c>
      <c r="AT572" s="208">
        <f t="shared" si="884"/>
        <v>926.32343935597839</v>
      </c>
      <c r="AU572" s="1044"/>
      <c r="AV572" s="230">
        <f t="shared" si="885"/>
        <v>695.77087236502393</v>
      </c>
      <c r="AW572" s="855">
        <f t="shared" si="881"/>
        <v>0.85416666666666663</v>
      </c>
      <c r="AX572" s="1044"/>
      <c r="AY572" s="1044"/>
      <c r="AZ572" s="1044"/>
      <c r="BA572" s="1044"/>
      <c r="BB572" s="1044"/>
      <c r="BC572" s="1044"/>
      <c r="BD572" s="1044"/>
      <c r="BE572" s="1044"/>
      <c r="BF572" s="1044"/>
      <c r="BG572" s="1044"/>
      <c r="BH572" s="1044"/>
      <c r="BI572" s="1044"/>
      <c r="BJ572" s="1044"/>
      <c r="BK572" s="1044"/>
      <c r="BL572" s="1044"/>
      <c r="BM572" s="1044"/>
      <c r="BN572" s="1044"/>
      <c r="BO572" s="1044"/>
      <c r="BP572" s="1044"/>
      <c r="BQ572" s="1044"/>
      <c r="BR572" s="1044"/>
      <c r="BS572" s="1044"/>
      <c r="BT572" s="1044"/>
      <c r="BU572" s="1044"/>
      <c r="BV572" s="1044"/>
      <c r="BW572" s="1044">
        <v>50.6</v>
      </c>
      <c r="BX572" s="1044">
        <v>1343</v>
      </c>
      <c r="BY572" s="1054">
        <f t="shared" si="874"/>
        <v>32</v>
      </c>
      <c r="BZ572" s="1054">
        <f t="shared" si="875"/>
        <v>23.3125</v>
      </c>
      <c r="CA572" s="1044">
        <v>712</v>
      </c>
      <c r="CB572" s="1047">
        <f t="shared" si="876"/>
        <v>43113.671875</v>
      </c>
      <c r="CC572" s="208">
        <f t="shared" si="877"/>
        <v>613.28125</v>
      </c>
      <c r="CD572" s="208">
        <f t="shared" si="878"/>
        <v>25.553385416666668</v>
      </c>
      <c r="CE572" s="230">
        <f t="shared" si="886"/>
        <v>857.83763629383668</v>
      </c>
      <c r="CF572" s="1044"/>
      <c r="CG572" s="208">
        <f>CC572/(AVERAGE(BY572,BY573)*AVERAGE((D$556,D$550,D$529,D$549,D$535,D$537,D$542,D$568,D$570,D$563))*0.01)</f>
        <v>644.33049536852445</v>
      </c>
      <c r="CH572" s="855">
        <f t="shared" si="883"/>
        <v>0.82209282841823061</v>
      </c>
      <c r="CI572" s="1044"/>
      <c r="CJ572" s="1044"/>
      <c r="CK572" s="1044"/>
      <c r="CL572" s="1044"/>
      <c r="CM572" s="1044"/>
      <c r="CN572" s="1044"/>
    </row>
    <row r="573" spans="1:92">
      <c r="A573" s="1034">
        <f t="shared" si="823"/>
        <v>41728</v>
      </c>
      <c r="B573" s="1035"/>
      <c r="C573" s="854">
        <f t="shared" si="853"/>
        <v>24</v>
      </c>
      <c r="D573" s="1044"/>
      <c r="E573" s="1044"/>
      <c r="F573" s="1044"/>
      <c r="G573" s="1044"/>
      <c r="H573" s="1044"/>
      <c r="I573" s="1044"/>
      <c r="J573" s="1044"/>
      <c r="K573" s="1044"/>
      <c r="L573" s="1044"/>
      <c r="M573" s="1044"/>
      <c r="N573" s="1044"/>
      <c r="O573" s="1044"/>
      <c r="P573" s="1044"/>
      <c r="Q573" s="1044"/>
      <c r="R573" s="1044"/>
      <c r="S573" s="1044"/>
      <c r="T573" s="1044"/>
      <c r="U573" s="1044"/>
      <c r="V573" s="1044"/>
      <c r="W573" s="1044"/>
      <c r="X573" s="1044"/>
      <c r="Y573" s="1044"/>
      <c r="Z573" s="1044"/>
      <c r="AA573" s="1044"/>
      <c r="AB573" s="1044"/>
      <c r="AC573" s="1044"/>
      <c r="AD573" s="1044"/>
      <c r="AE573" s="1044"/>
      <c r="AF573" s="1044"/>
      <c r="AG573" s="1044"/>
      <c r="AH573" s="1044"/>
      <c r="AI573" s="1044"/>
      <c r="AJ573" s="1044"/>
      <c r="AK573" s="1044"/>
      <c r="AL573" s="1044">
        <v>35.700000000000003</v>
      </c>
      <c r="AM573" s="1044">
        <v>2245</v>
      </c>
      <c r="AN573" s="208">
        <f t="shared" si="869"/>
        <v>56.160000000000004</v>
      </c>
      <c r="AO573" s="208">
        <f t="shared" si="870"/>
        <v>25.160256410256409</v>
      </c>
      <c r="AP573" s="1044">
        <v>1351</v>
      </c>
      <c r="AQ573" s="1047">
        <f t="shared" si="871"/>
        <v>80864.8125</v>
      </c>
      <c r="AR573" s="76">
        <f t="shared" si="872"/>
        <v>1267.2843749999884</v>
      </c>
      <c r="AS573" s="230">
        <f t="shared" si="873"/>
        <v>52.803515624999513</v>
      </c>
      <c r="AT573" s="208">
        <f t="shared" si="884"/>
        <v>972.63961132376835</v>
      </c>
      <c r="AU573" s="1044"/>
      <c r="AV573" s="230">
        <f t="shared" si="885"/>
        <v>730.55941598326842</v>
      </c>
      <c r="AW573" s="855">
        <f t="shared" si="881"/>
        <v>0.89687499999999176</v>
      </c>
      <c r="AX573" s="1044"/>
      <c r="AY573" s="1044"/>
      <c r="AZ573" s="1044"/>
      <c r="BA573" s="1044"/>
      <c r="BB573" s="1044"/>
      <c r="BC573" s="1044"/>
      <c r="BD573" s="1044"/>
      <c r="BE573" s="1044"/>
      <c r="BF573" s="1044"/>
      <c r="BG573" s="1044"/>
      <c r="BH573" s="1044"/>
      <c r="BI573" s="1044"/>
      <c r="BJ573" s="1044"/>
      <c r="BK573" s="1044"/>
      <c r="BL573" s="1044"/>
      <c r="BM573" s="1044"/>
      <c r="BN573" s="1044"/>
      <c r="BO573" s="1044"/>
      <c r="BP573" s="1044"/>
      <c r="BQ573" s="1044"/>
      <c r="BR573" s="1044"/>
      <c r="BS573" s="1044"/>
      <c r="BT573" s="1044"/>
      <c r="BU573" s="1044"/>
      <c r="BV573" s="1044"/>
      <c r="BW573" s="1044">
        <v>51.8</v>
      </c>
      <c r="BX573" s="1044">
        <v>1359</v>
      </c>
      <c r="BY573" s="1054">
        <f t="shared" si="874"/>
        <v>32</v>
      </c>
      <c r="BZ573" s="1054">
        <f t="shared" si="875"/>
        <v>23.3125</v>
      </c>
      <c r="CA573" s="1044">
        <v>722</v>
      </c>
      <c r="CB573" s="1047">
        <f t="shared" si="876"/>
        <v>43726.953125</v>
      </c>
      <c r="CC573" s="208">
        <f t="shared" si="877"/>
        <v>613.28125</v>
      </c>
      <c r="CD573" s="208">
        <f t="shared" si="878"/>
        <v>25.553385416666668</v>
      </c>
      <c r="CE573" s="230">
        <f t="shared" si="886"/>
        <v>857.83763629383668</v>
      </c>
      <c r="CF573" s="1044"/>
      <c r="CG573" s="208">
        <f>CC573/(AVERAGE(BY573,BY574)*AVERAGE((D$556,D$550,D$529,D$549,D$535,D$537,D$542,D$568,D$570,D$563))*0.01)</f>
        <v>644.33049536852445</v>
      </c>
      <c r="CH573" s="855">
        <f t="shared" si="883"/>
        <v>0.82209282841823061</v>
      </c>
      <c r="CI573" s="1044"/>
      <c r="CJ573" s="1044"/>
      <c r="CK573" s="1044"/>
      <c r="CL573" s="1044"/>
      <c r="CM573" s="1044"/>
      <c r="CN573" s="1044"/>
    </row>
    <row r="574" spans="1:92">
      <c r="A574" s="1034">
        <f t="shared" si="823"/>
        <v>41729</v>
      </c>
      <c r="B574" s="1035"/>
      <c r="C574" s="854">
        <f t="shared" si="853"/>
        <v>24</v>
      </c>
      <c r="D574" s="1044"/>
      <c r="E574" s="1044"/>
      <c r="F574" s="1044"/>
      <c r="G574" s="1044"/>
      <c r="H574" s="1044"/>
      <c r="I574" s="1044"/>
      <c r="J574" s="1044"/>
      <c r="K574" s="1044"/>
      <c r="L574" s="1044"/>
      <c r="M574" s="1044"/>
      <c r="N574" s="1044"/>
      <c r="O574" s="1044"/>
      <c r="P574" s="1044"/>
      <c r="Q574" s="1044"/>
      <c r="R574" s="1044"/>
      <c r="S574" s="1044"/>
      <c r="T574" s="1044"/>
      <c r="U574" s="1044"/>
      <c r="V574" s="1044"/>
      <c r="W574" s="1044"/>
      <c r="X574" s="1044"/>
      <c r="Y574" s="1044"/>
      <c r="Z574" s="1044"/>
      <c r="AA574" s="1044"/>
      <c r="AB574" s="1044"/>
      <c r="AC574" s="1044"/>
      <c r="AD574" s="1044"/>
      <c r="AE574" s="1044"/>
      <c r="AF574" s="1044"/>
      <c r="AG574" s="1044"/>
      <c r="AH574" s="1044"/>
      <c r="AI574" s="1044"/>
      <c r="AJ574" s="1044"/>
      <c r="AK574" s="1044"/>
      <c r="AL574" s="1044">
        <v>35.5</v>
      </c>
      <c r="AM574" s="1044">
        <v>2273</v>
      </c>
      <c r="AN574" s="208">
        <f t="shared" si="869"/>
        <v>60.480000000000004</v>
      </c>
      <c r="AO574" s="208">
        <f t="shared" si="870"/>
        <v>23.363095238095237</v>
      </c>
      <c r="AP574" s="1044">
        <v>1367</v>
      </c>
      <c r="AQ574" s="1047">
        <f t="shared" si="871"/>
        <v>81830.362500000003</v>
      </c>
      <c r="AR574" s="76">
        <f t="shared" si="872"/>
        <v>965.55000000000291</v>
      </c>
      <c r="AS574" s="230">
        <f t="shared" si="873"/>
        <v>40.231250000000124</v>
      </c>
      <c r="AT574" s="208">
        <f t="shared" si="884"/>
        <v>769.56101115727665</v>
      </c>
      <c r="AU574" s="1044"/>
      <c r="AV574" s="230">
        <f t="shared" si="885"/>
        <v>578.02503242632929</v>
      </c>
      <c r="AW574" s="855">
        <f t="shared" si="881"/>
        <v>0.68333333333333535</v>
      </c>
      <c r="AX574" s="1044"/>
      <c r="AY574" s="1044"/>
      <c r="AZ574" s="1044"/>
      <c r="BA574" s="1044"/>
      <c r="BB574" s="1044"/>
      <c r="BC574" s="1044"/>
      <c r="BD574" s="1044"/>
      <c r="BE574" s="1044"/>
      <c r="BF574" s="1044"/>
      <c r="BG574" s="1044"/>
      <c r="BH574" s="1044"/>
      <c r="BI574" s="1044"/>
      <c r="BJ574" s="1044"/>
      <c r="BK574" s="1044"/>
      <c r="BL574" s="1044"/>
      <c r="BM574" s="1044"/>
      <c r="BN574" s="1044"/>
      <c r="BO574" s="1044"/>
      <c r="BP574" s="1044"/>
      <c r="BQ574" s="1044"/>
      <c r="BR574" s="1044"/>
      <c r="BS574" s="1044"/>
      <c r="BT574" s="1044"/>
      <c r="BU574" s="1044"/>
      <c r="BV574" s="1044"/>
      <c r="BW574" s="1044">
        <v>50.6</v>
      </c>
      <c r="BX574" s="1044">
        <v>1375</v>
      </c>
      <c r="BY574" s="1054">
        <f t="shared" si="874"/>
        <v>32</v>
      </c>
      <c r="BZ574" s="1054">
        <f t="shared" si="875"/>
        <v>23.3125</v>
      </c>
      <c r="CA574" s="1044">
        <v>731</v>
      </c>
      <c r="CB574" s="1047">
        <f t="shared" si="876"/>
        <v>44278.90625</v>
      </c>
      <c r="CC574" s="208">
        <f t="shared" si="877"/>
        <v>551.953125</v>
      </c>
      <c r="CD574" s="208">
        <f t="shared" si="878"/>
        <v>22.998046875</v>
      </c>
      <c r="CE574" s="230">
        <f t="shared" si="886"/>
        <v>772.05387266445302</v>
      </c>
      <c r="CF574" s="1044"/>
      <c r="CG574" s="208">
        <f>CC574/(AVERAGE(BY574,BY575)*AVERAGE((D$556,D$550,D$529,D$549,D$535,D$537,D$542,D$568,D$570,D$563))*0.01)</f>
        <v>579.89744583167203</v>
      </c>
      <c r="CH574" s="855">
        <f t="shared" si="883"/>
        <v>0.73988354557640745</v>
      </c>
      <c r="CI574" s="1044"/>
      <c r="CJ574" s="1044"/>
      <c r="CK574" s="1044"/>
      <c r="CL574" s="1044"/>
      <c r="CM574" s="1044"/>
      <c r="CN574" s="1044"/>
    </row>
    <row r="575" spans="1:92">
      <c r="A575" s="1034">
        <f t="shared" si="823"/>
        <v>41730</v>
      </c>
      <c r="B575" s="1035"/>
      <c r="C575" s="854">
        <f t="shared" si="853"/>
        <v>24</v>
      </c>
      <c r="D575" s="1044"/>
      <c r="E575" s="1044"/>
      <c r="F575" s="1044"/>
      <c r="G575" s="1044"/>
      <c r="H575" s="1044"/>
      <c r="I575" s="1044"/>
      <c r="J575" s="1044"/>
      <c r="K575" s="1044"/>
      <c r="L575" s="1044"/>
      <c r="M575" s="1044">
        <v>62</v>
      </c>
      <c r="N575" s="1044">
        <v>85</v>
      </c>
      <c r="O575" s="1044"/>
      <c r="P575" s="1044"/>
      <c r="Q575" s="1044"/>
      <c r="R575" s="1044"/>
      <c r="S575" s="1044"/>
      <c r="T575" s="1044"/>
      <c r="U575" s="1044"/>
      <c r="V575" s="1044"/>
      <c r="W575" s="1044"/>
      <c r="X575" s="1044"/>
      <c r="Y575" s="1044"/>
      <c r="Z575" s="1044"/>
      <c r="AA575" s="1044"/>
      <c r="AB575" s="1044"/>
      <c r="AC575" s="1044"/>
      <c r="AD575" s="1044"/>
      <c r="AE575" s="1044"/>
      <c r="AF575" s="1044"/>
      <c r="AG575" s="1044"/>
      <c r="AH575" s="1044"/>
      <c r="AI575" s="1044"/>
      <c r="AJ575" s="1044"/>
      <c r="AK575" s="1044"/>
      <c r="AL575" s="1044">
        <v>35.5</v>
      </c>
      <c r="AM575" s="1044">
        <v>2297</v>
      </c>
      <c r="AN575" s="208">
        <f t="shared" si="869"/>
        <v>51.84</v>
      </c>
      <c r="AO575" s="208">
        <f t="shared" si="870"/>
        <v>27.256944444444443</v>
      </c>
      <c r="AP575" s="1044">
        <v>1381</v>
      </c>
      <c r="AQ575" s="1047">
        <f t="shared" si="871"/>
        <v>82675.21875</v>
      </c>
      <c r="AR575" s="76">
        <f t="shared" si="872"/>
        <v>844.85624999999709</v>
      </c>
      <c r="AS575" s="230">
        <f t="shared" si="873"/>
        <v>35.202343749999876</v>
      </c>
      <c r="AT575" s="208">
        <f t="shared" si="884"/>
        <v>603.70734495958379</v>
      </c>
      <c r="AU575" s="1044"/>
      <c r="AV575" s="230">
        <f t="shared" si="885"/>
        <v>453.45067198961749</v>
      </c>
      <c r="AW575" s="855">
        <f t="shared" si="881"/>
        <v>0.59791666666666465</v>
      </c>
      <c r="AX575" s="1044"/>
      <c r="AY575" s="1044"/>
      <c r="AZ575" s="1044"/>
      <c r="BA575" s="1044"/>
      <c r="BB575" s="1044"/>
      <c r="BC575" s="1044"/>
      <c r="BD575" s="1044"/>
      <c r="BE575" s="1044"/>
      <c r="BF575" s="1044"/>
      <c r="BG575" s="1044"/>
      <c r="BH575" s="1044"/>
      <c r="BI575" s="1044"/>
      <c r="BJ575" s="1044"/>
      <c r="BK575" s="1044"/>
      <c r="BL575" s="1044"/>
      <c r="BM575" s="1044"/>
      <c r="BN575" s="1044"/>
      <c r="BO575" s="1044"/>
      <c r="BP575" s="1044"/>
      <c r="BQ575" s="1044"/>
      <c r="BR575" s="1044"/>
      <c r="BS575" s="1044"/>
      <c r="BT575" s="1044"/>
      <c r="BU575" s="1044"/>
      <c r="BV575" s="1044"/>
      <c r="BW575" s="1044">
        <v>50.6</v>
      </c>
      <c r="BX575" s="1044">
        <v>1391</v>
      </c>
      <c r="BY575" s="1054">
        <f t="shared" si="874"/>
        <v>32</v>
      </c>
      <c r="BZ575" s="1054">
        <f t="shared" si="875"/>
        <v>23.3125</v>
      </c>
      <c r="CA575" s="1044">
        <v>738</v>
      </c>
      <c r="CB575" s="1047">
        <f t="shared" si="876"/>
        <v>44708.203125</v>
      </c>
      <c r="CC575" s="208">
        <f t="shared" si="877"/>
        <v>429.296875</v>
      </c>
      <c r="CD575" s="208">
        <f t="shared" si="878"/>
        <v>17.887369791666668</v>
      </c>
      <c r="CE575" s="230">
        <f t="shared" si="886"/>
        <v>600.48634540568571</v>
      </c>
      <c r="CF575" s="1044"/>
      <c r="CG575" s="208">
        <f>CC575/(AVERAGE(BY575,BY576)*AVERAGE((D$556,D$550,D$529,D$549,D$535,D$537,D$542,D$568,D$570,D$563))*0.01)</f>
        <v>451.03134675796707</v>
      </c>
      <c r="CH575" s="855">
        <f t="shared" si="883"/>
        <v>0.57546497989276135</v>
      </c>
      <c r="CI575" s="1044"/>
      <c r="CJ575" s="1044"/>
      <c r="CK575" s="1044"/>
      <c r="CL575" s="1044"/>
      <c r="CM575" s="1044"/>
      <c r="CN575" s="1044"/>
    </row>
    <row r="576" spans="1:92">
      <c r="A576" s="1034">
        <f t="shared" si="823"/>
        <v>41731</v>
      </c>
      <c r="B576" s="1035"/>
      <c r="C576" s="854">
        <f t="shared" si="853"/>
        <v>24</v>
      </c>
      <c r="D576" s="1044"/>
      <c r="E576" s="1044"/>
      <c r="F576" s="1044"/>
      <c r="G576" s="1044"/>
      <c r="H576" s="1044"/>
      <c r="I576" s="1044"/>
      <c r="J576" s="1044"/>
      <c r="K576" s="1044"/>
      <c r="L576" s="1044"/>
      <c r="M576" s="1044"/>
      <c r="N576" s="1044"/>
      <c r="O576" s="1044"/>
      <c r="P576" s="1044"/>
      <c r="Q576" s="1044"/>
      <c r="R576" s="1044"/>
      <c r="S576" s="1044"/>
      <c r="T576" s="1044"/>
      <c r="U576" s="1044"/>
      <c r="V576" s="1044"/>
      <c r="W576" s="1044"/>
      <c r="X576" s="1044"/>
      <c r="Y576" s="1044"/>
      <c r="Z576" s="1044"/>
      <c r="AA576" s="1044"/>
      <c r="AB576" s="1044"/>
      <c r="AC576" s="1044"/>
      <c r="AD576" s="1044"/>
      <c r="AE576" s="1044"/>
      <c r="AF576" s="1044"/>
      <c r="AG576" s="1044"/>
      <c r="AH576" s="1044"/>
      <c r="AI576" s="1044"/>
      <c r="AJ576" s="1044"/>
      <c r="AK576" s="1044"/>
      <c r="AL576" s="1044">
        <v>35.799999999999997</v>
      </c>
      <c r="AM576" s="1044">
        <v>2331</v>
      </c>
      <c r="AN576" s="208">
        <f t="shared" si="869"/>
        <v>73.44</v>
      </c>
      <c r="AO576" s="208">
        <f t="shared" si="870"/>
        <v>19.240196078431374</v>
      </c>
      <c r="AP576" s="1044">
        <v>1396</v>
      </c>
      <c r="AQ576" s="1047">
        <f t="shared" si="871"/>
        <v>83580.421875</v>
      </c>
      <c r="AR576" s="76">
        <f t="shared" si="872"/>
        <v>905.203125</v>
      </c>
      <c r="AS576" s="230">
        <f t="shared" si="873"/>
        <v>37.716796875</v>
      </c>
      <c r="AT576" s="208">
        <f t="shared" si="884"/>
        <v>605.09837570834065</v>
      </c>
      <c r="AU576" s="1044"/>
      <c r="AV576" s="230">
        <f t="shared" si="885"/>
        <v>454.49548920618491</v>
      </c>
      <c r="AW576" s="855">
        <f t="shared" si="881"/>
        <v>0.640625</v>
      </c>
      <c r="AX576" s="1044"/>
      <c r="AY576" s="1044"/>
      <c r="AZ576" s="1044"/>
      <c r="BA576" s="1044"/>
      <c r="BB576" s="1044"/>
      <c r="BC576" s="1044"/>
      <c r="BD576" s="1044"/>
      <c r="BE576" s="1044"/>
      <c r="BF576" s="1044"/>
      <c r="BG576" s="1044"/>
      <c r="BH576" s="1044"/>
      <c r="BI576" s="1044"/>
      <c r="BJ576" s="1044"/>
      <c r="BK576" s="1044"/>
      <c r="BL576" s="1044"/>
      <c r="BM576" s="1044"/>
      <c r="BN576" s="1044"/>
      <c r="BO576" s="1044"/>
      <c r="BP576" s="1044"/>
      <c r="BQ576" s="1044"/>
      <c r="BR576" s="1044"/>
      <c r="BS576" s="1044"/>
      <c r="BT576" s="1044"/>
      <c r="BU576" s="1044"/>
      <c r="BV576" s="1044"/>
      <c r="BW576" s="1044">
        <v>50.6</v>
      </c>
      <c r="BX576" s="1044">
        <v>1407</v>
      </c>
      <c r="BY576" s="1054">
        <f t="shared" si="874"/>
        <v>32</v>
      </c>
      <c r="BZ576" s="1054">
        <f t="shared" si="875"/>
        <v>23.3125</v>
      </c>
      <c r="CA576" s="1044">
        <v>743</v>
      </c>
      <c r="CB576" s="1047">
        <f t="shared" si="876"/>
        <v>45014.84375</v>
      </c>
      <c r="CC576" s="208">
        <f t="shared" si="877"/>
        <v>306.640625</v>
      </c>
      <c r="CD576" s="208">
        <f t="shared" si="878"/>
        <v>12.776692708333334</v>
      </c>
      <c r="CE576" s="230">
        <f t="shared" si="886"/>
        <v>428.91881814691834</v>
      </c>
      <c r="CF576" s="1044"/>
      <c r="CG576" s="208">
        <f>CC576/(AVERAGE(BY576,BY577)*AVERAGE((D$556,D$550,D$529,D$549,D$535,D$537,D$542,D$568,D$570,D$563))*0.01)</f>
        <v>322.16524768426223</v>
      </c>
      <c r="CH576" s="855">
        <f t="shared" si="883"/>
        <v>0.41104641420911531</v>
      </c>
      <c r="CI576" s="1044"/>
      <c r="CJ576" s="1044"/>
      <c r="CK576" s="1044"/>
      <c r="CL576" s="1044"/>
      <c r="CM576" s="1044"/>
      <c r="CN576" s="1044"/>
    </row>
    <row r="577" spans="1:92" s="1097" customFormat="1">
      <c r="A577" s="1093">
        <f t="shared" si="823"/>
        <v>41732</v>
      </c>
      <c r="B577" s="1094"/>
      <c r="C577" s="1095">
        <f t="shared" si="853"/>
        <v>24</v>
      </c>
      <c r="D577" s="1096"/>
      <c r="E577" s="1096"/>
      <c r="F577" s="1096"/>
      <c r="G577" s="1096"/>
      <c r="H577" s="1096"/>
      <c r="I577" s="1096"/>
      <c r="J577" s="1096"/>
      <c r="K577" s="1096"/>
      <c r="L577" s="1096"/>
      <c r="M577" s="1096">
        <v>60</v>
      </c>
      <c r="N577" s="1096">
        <v>85</v>
      </c>
      <c r="O577" s="1096"/>
      <c r="P577" s="1096"/>
      <c r="Q577" s="1096"/>
      <c r="R577" s="1096"/>
      <c r="S577" s="1096"/>
      <c r="T577" s="1096"/>
      <c r="U577" s="1096"/>
      <c r="V577" s="1096"/>
      <c r="W577" s="1096"/>
      <c r="X577" s="1096"/>
      <c r="Y577" s="1096"/>
      <c r="Z577" s="1096"/>
      <c r="AA577" s="1096"/>
      <c r="AB577" s="1096"/>
      <c r="AC577" s="1096"/>
      <c r="AD577" s="1096"/>
      <c r="AE577" s="1096"/>
      <c r="AF577" s="1096"/>
      <c r="AG577" s="1096"/>
      <c r="AH577" s="1096"/>
      <c r="AI577" s="1096"/>
      <c r="AJ577" s="1096"/>
      <c r="AK577" s="1096"/>
      <c r="AL577" s="1096">
        <v>35.5</v>
      </c>
      <c r="AM577" s="1096">
        <v>2359</v>
      </c>
      <c r="AN577" s="208">
        <f t="shared" si="869"/>
        <v>60.480000000000004</v>
      </c>
      <c r="AO577" s="208">
        <f t="shared" si="870"/>
        <v>23.363095238095237</v>
      </c>
      <c r="AP577" s="1096">
        <v>1409</v>
      </c>
      <c r="AQ577" s="1047">
        <f t="shared" si="871"/>
        <v>84364.931250000009</v>
      </c>
      <c r="AR577" s="76">
        <f t="shared" si="872"/>
        <v>784.50937500000873</v>
      </c>
      <c r="AS577" s="230">
        <f t="shared" si="873"/>
        <v>32.687890625000364</v>
      </c>
      <c r="AT577" s="208">
        <f t="shared" si="884"/>
        <v>580.60629859634275</v>
      </c>
      <c r="AU577" s="597"/>
      <c r="AV577" s="230">
        <f t="shared" si="885"/>
        <v>436.09924321451092</v>
      </c>
      <c r="AW577" s="855">
        <f t="shared" si="881"/>
        <v>0.55520833333333952</v>
      </c>
      <c r="AX577" s="1096">
        <v>69.5</v>
      </c>
      <c r="AY577" s="1096">
        <v>30.4</v>
      </c>
      <c r="AZ577" s="1096">
        <v>0</v>
      </c>
      <c r="BA577" s="1096">
        <v>6</v>
      </c>
      <c r="BB577" s="1096">
        <v>105</v>
      </c>
      <c r="BC577" s="1096" t="s">
        <v>183</v>
      </c>
      <c r="BD577" s="1096"/>
      <c r="BE577" s="1096"/>
      <c r="BF577" s="1096"/>
      <c r="BG577" s="1096"/>
      <c r="BH577" s="1096"/>
      <c r="BI577" s="1096"/>
      <c r="BJ577" s="1096"/>
      <c r="BK577" s="1096"/>
      <c r="BL577" s="1096"/>
      <c r="BM577" s="1096"/>
      <c r="BN577" s="1096"/>
      <c r="BO577" s="1096"/>
      <c r="BP577" s="1096"/>
      <c r="BQ577" s="1096"/>
      <c r="BR577" s="1096"/>
      <c r="BS577" s="1096"/>
      <c r="BT577" s="1096"/>
      <c r="BU577" s="1096"/>
      <c r="BV577" s="1096"/>
      <c r="BW577" s="1096">
        <v>50.6</v>
      </c>
      <c r="BX577" s="1096">
        <v>1423</v>
      </c>
      <c r="BY577" s="1054">
        <f t="shared" si="874"/>
        <v>32</v>
      </c>
      <c r="BZ577" s="1054">
        <f t="shared" si="875"/>
        <v>23.3125</v>
      </c>
      <c r="CA577" s="1096">
        <v>749</v>
      </c>
      <c r="CB577" s="1047">
        <f t="shared" si="876"/>
        <v>45382.8125</v>
      </c>
      <c r="CC577" s="208">
        <f t="shared" si="877"/>
        <v>367.96875</v>
      </c>
      <c r="CD577" s="208">
        <f t="shared" si="878"/>
        <v>15.33203125</v>
      </c>
      <c r="CE577" s="230">
        <f t="shared" si="886"/>
        <v>514.70258177630205</v>
      </c>
      <c r="CF577" s="1096"/>
      <c r="CG577" s="208">
        <f>CC577/(AVERAGE(BY577,BY578)*AVERAGE((D$556,D$550,D$529,D$549,D$535,D$537,D$542,D$568,D$570,D$563))*0.01)</f>
        <v>386.59829722111465</v>
      </c>
      <c r="CH577" s="855">
        <f t="shared" si="883"/>
        <v>0.49325569705093836</v>
      </c>
      <c r="CI577" s="1096">
        <v>68.5</v>
      </c>
      <c r="CJ577" s="1096">
        <v>31.4</v>
      </c>
      <c r="CK577" s="1096">
        <v>0</v>
      </c>
      <c r="CL577" s="1096">
        <v>33</v>
      </c>
      <c r="CM577" s="1096">
        <v>195</v>
      </c>
      <c r="CN577" s="1096" t="s">
        <v>183</v>
      </c>
    </row>
    <row r="578" spans="1:92" s="337" customFormat="1">
      <c r="A578" s="1036">
        <f t="shared" si="823"/>
        <v>41733</v>
      </c>
      <c r="B578" s="1037"/>
      <c r="C578" s="847">
        <f t="shared" si="853"/>
        <v>24</v>
      </c>
      <c r="D578" s="1023">
        <v>2.2000000000000002</v>
      </c>
      <c r="E578" s="1023">
        <v>78.3</v>
      </c>
      <c r="F578" s="1023">
        <v>26800</v>
      </c>
      <c r="G578" s="1023"/>
      <c r="H578" s="1023">
        <v>42.2</v>
      </c>
      <c r="I578" s="1023">
        <v>4058</v>
      </c>
      <c r="J578" s="1023">
        <v>2166</v>
      </c>
      <c r="K578" s="1023">
        <v>33.1</v>
      </c>
      <c r="L578" s="1023">
        <v>22</v>
      </c>
      <c r="M578" s="1023"/>
      <c r="N578" s="1023"/>
      <c r="O578" s="1023"/>
      <c r="P578" s="1023"/>
      <c r="Q578" s="1023"/>
      <c r="R578" s="1023"/>
      <c r="S578" s="1023"/>
      <c r="T578" s="1023"/>
      <c r="U578" s="1023"/>
      <c r="V578" s="1023">
        <v>1.9</v>
      </c>
      <c r="W578" s="1023">
        <v>65.8</v>
      </c>
      <c r="X578" s="1023">
        <v>16200</v>
      </c>
      <c r="Y578" s="1023">
        <v>31.2</v>
      </c>
      <c r="Z578" s="1023">
        <v>1583</v>
      </c>
      <c r="AA578" s="1023">
        <v>510</v>
      </c>
      <c r="AB578" s="1023">
        <v>64.099999999999994</v>
      </c>
      <c r="AC578" s="1023">
        <v>175</v>
      </c>
      <c r="AD578" s="1021">
        <f>D570*(100-E570)/(100-W578)</f>
        <v>1.6953216374269005</v>
      </c>
      <c r="AE578" s="1055">
        <f>D570-V578</f>
        <v>0.70000000000000018</v>
      </c>
      <c r="AF578" s="847">
        <f>100*(AVERAGE(D$556,D$550,D$578,D$549,D$535,D$537,D$542,D$568,D$570,D$563)-V578)/AVERAGE(D$556,D$550,D$578,D$549,D$535,D$537,D$542,D$568,D$570,D$563)</f>
        <v>33.162620056077344</v>
      </c>
      <c r="AG578" s="847">
        <f>100*(1-((100-AVERAGE(E$556,E$550,E$578,E$549,E$535,E$537,E$542,E$568,E$570,E$563))/(100-W578)))</f>
        <v>28.59012833524741</v>
      </c>
      <c r="AH578" s="1055">
        <f>E570-W578</f>
        <v>11.900000000000006</v>
      </c>
      <c r="AI578" s="847">
        <f>100*(1-((V578*W578)/(AVERAGE(D$556,D$550,D$578,D$549,D$535,D$537,D$542,D$568,D$570,D$563)*AVERAGE(E$556,E$550,E$578,E$549,E$535,E$537,E$542,E$568,E$570,E$563))))</f>
        <v>41.809655611771049</v>
      </c>
      <c r="AJ578" s="847">
        <f>100*100*((AVERAGE(E$556,E$550,E$578,E$549,E$535,E$537,E$542,E$568,E$570,E$563)-W578)/((100-W578)*AVERAGE(E$556,E$550,E$578,E$549,E$535,E$537,E$542,E$568,E$570,E$563)))</f>
        <v>37.828726554248746</v>
      </c>
      <c r="AK578" s="1023"/>
      <c r="AL578" s="1023">
        <v>35.6</v>
      </c>
      <c r="AM578" s="1023">
        <v>2387</v>
      </c>
      <c r="AN578" s="208">
        <f t="shared" ref="AN578:AN583" si="887">(AM578-AM577)*AQ$1/((C577)/24)</f>
        <v>60.480000000000004</v>
      </c>
      <c r="AO578" s="208">
        <f t="shared" ref="AO578:AO583" si="888">AQ$3/AN578</f>
        <v>23.363095238095237</v>
      </c>
      <c r="AP578" s="1023">
        <v>1424</v>
      </c>
      <c r="AQ578" s="1047">
        <f t="shared" ref="AQ578:AQ617" si="889">((AP578-AP$489)*AQ$2)</f>
        <v>85270.134375000009</v>
      </c>
      <c r="AR578" s="76">
        <f t="shared" ref="AR578:AR583" si="890">(AQ578-AQ577)/(C578/24)</f>
        <v>905.203125</v>
      </c>
      <c r="AS578" s="230">
        <f t="shared" ref="AS578:AS583" si="891">(AQ578-AQ577)/C578</f>
        <v>37.716796875</v>
      </c>
      <c r="AT578" s="208">
        <f>AR578/(AVERAGE(AN578,AN579)*(AVERAGE(D$556,D$550,D$578,D$549,D$535,D$537,D$542,D$568,D$570,D$563))*AVERAGE(E$556,E$550,E$578,E$549,E$535,E$537,E$542,E$568,E$570,E$563)*0.0001)</f>
        <v>696.63564920950034</v>
      </c>
      <c r="AU578" s="597">
        <f>(AQ578-AQ572)/(AVERAGE(AN572:AN578)*((AVERAGE(D$556,D$550,D$578,D$549,D$535,D$537,D$542,D$568,D$570,D$563)*AVERAGE(E$556,E$550,E$578,E$549,E$535,E$537,E$542,E$568,E$570,E$563))-(V578*W578))*0.0001*(SUM(C572:C578)/24))</f>
        <v>1491.6524964096659</v>
      </c>
      <c r="AV578" s="230">
        <f>AR578/(AVERAGE(AN579,AN578)*AVERAGE(D$556,D$550,D$578,D$549,D$535,D$537,D$542,D$568,D$570,D$563)*0.01)</f>
        <v>526.50206411907459</v>
      </c>
      <c r="AW578" s="855">
        <f t="shared" si="881"/>
        <v>0.640625</v>
      </c>
      <c r="AX578" s="1023"/>
      <c r="AY578" s="1023"/>
      <c r="AZ578" s="1023"/>
      <c r="BA578" s="1023"/>
      <c r="BB578" s="1023"/>
      <c r="BC578" s="1023"/>
      <c r="BD578" s="1023"/>
      <c r="BE578" s="1023"/>
      <c r="BF578" s="1023"/>
      <c r="BG578" s="1023">
        <v>1.9</v>
      </c>
      <c r="BH578" s="1023">
        <v>61</v>
      </c>
      <c r="BI578" s="1023">
        <v>18000</v>
      </c>
      <c r="BJ578" s="1023">
        <v>32.5</v>
      </c>
      <c r="BK578" s="1023">
        <v>2015</v>
      </c>
      <c r="BL578" s="1023">
        <v>521</v>
      </c>
      <c r="BM578" s="1023">
        <v>68.5</v>
      </c>
      <c r="BN578" s="1023">
        <v>159</v>
      </c>
      <c r="BO578" s="847">
        <f>D570*(100-E570)/(100-BH578)</f>
        <v>1.4866666666666666</v>
      </c>
      <c r="BP578" s="1055">
        <f>D570-BG578</f>
        <v>0.70000000000000018</v>
      </c>
      <c r="BQ578" s="1056">
        <f>100*(AVERAGE(D$556,D$550,D$578,D$549,D$535,D$537,D$542,D$568,D$570,D$563)-BG578)/AVERAGE(D$556,D$550,D$578,D$549,D$535,D$537,D$542,D$568,D$570,D$563)</f>
        <v>33.162620056077344</v>
      </c>
      <c r="BR578" s="1056">
        <f>100*(1-((100-AVERAGE(E$556,E$550,E$578,E$549,E$535,E$537,E$542,E$568,E$570,E$563))/(100-BH578)))</f>
        <v>37.379035617063117</v>
      </c>
      <c r="BS578" s="1055">
        <f>E570-BH578</f>
        <v>16.700000000000003</v>
      </c>
      <c r="BT578" s="1055">
        <f>100*(1-((BG578*BH578)/(AVERAGE(D$556,D$550,D$578,D$549,D$535,D$537,D$542,D$568,D$570,D$563)*AVERAGE(E$556,E$550,E$578,E$549,E$535,E$537,E$542,E$568,E$570,E$563))))</f>
        <v>46.054543956201108</v>
      </c>
      <c r="BU578" s="847">
        <f>100*100*((AVERAGE(E$556,E$550,E$578,E$549,E$535,E$537,E$542,E$568,E$570,E$563)-BH578)/((100-BH578)*AVERAGE(E$556,E$550,E$578,E$549,E$535,E$537,E$542,E$568,E$570,E$563)))</f>
        <v>49.457676462268616</v>
      </c>
      <c r="BV578" s="1023"/>
      <c r="BW578" s="1023">
        <v>50.6</v>
      </c>
      <c r="BX578" s="1023">
        <v>1439</v>
      </c>
      <c r="BY578" s="1054">
        <f t="shared" ref="BY578:BY583" si="892">(BX578-BX577)*CB$1/((C578)/24)</f>
        <v>32</v>
      </c>
      <c r="BZ578" s="1054">
        <f t="shared" ref="BZ578:BZ583" si="893">CB$3/BY578</f>
        <v>23.3125</v>
      </c>
      <c r="CA578" s="1023">
        <v>755</v>
      </c>
      <c r="CB578" s="1047">
        <f t="shared" ref="CB578:CB617" si="894">((CA578-CA$489)*CB$2)</f>
        <v>45750.78125</v>
      </c>
      <c r="CC578" s="208">
        <f t="shared" ref="CC578:CC583" si="895">(CB578-CB577)/((C578/24))</f>
        <v>367.96875</v>
      </c>
      <c r="CD578" s="208">
        <f t="shared" ref="CD578:CD583" si="896">(CB578-CB577)/(C578)</f>
        <v>15.33203125</v>
      </c>
      <c r="CE578" s="230">
        <f>CC578/(AVERAGE(BY579,BY578)*(AVERAGE(D$556,D$550,D$578,D$549,D$535,D$537,D$542,D$568,D$570,D$563))*AVERAGE(E$556,E$550,E$578,E$549,E$535,E$537,E$542,E$568,E$570,E$563)*0.0001)</f>
        <v>535.22007195364063</v>
      </c>
      <c r="CF578" s="334">
        <f>(CB578-CB572)/(AVERAGE(BY572:BY578)*((AVERAGE(D$556,D$550,D$578,D$549,D$535,D$537,D$542,D$568,D$570,D$563)*AVERAGE(E$556,E$550,E$578,E$549,E$535,E$537,E$542,E$568,E$570,E$563))-(BG578*BH578))*0.0001*(SUM(C572:C578)/24))</f>
        <v>1189.8139899534801</v>
      </c>
      <c r="CG578" s="208">
        <f>CC578/(AVERAGE(BY578,BY579)*AVERAGE((D$556,D$550,D$578,D$549,D$535,D$537,D$542,D$568,D$570,D$563))*0.01)</f>
        <v>404.5076834085574</v>
      </c>
      <c r="CH578" s="855">
        <f t="shared" si="883"/>
        <v>0.49325569705093836</v>
      </c>
      <c r="CI578" s="1023"/>
      <c r="CJ578" s="1023"/>
      <c r="CK578" s="1023"/>
      <c r="CL578" s="1023"/>
      <c r="CM578" s="1023"/>
      <c r="CN578" s="1023"/>
    </row>
    <row r="579" spans="1:92">
      <c r="A579" s="1034">
        <f t="shared" si="823"/>
        <v>41734</v>
      </c>
      <c r="B579" s="1035"/>
      <c r="C579" s="854">
        <f t="shared" si="853"/>
        <v>24</v>
      </c>
      <c r="D579" s="1044"/>
      <c r="E579" s="1044"/>
      <c r="F579" s="1044"/>
      <c r="G579" s="1044"/>
      <c r="H579" s="1044"/>
      <c r="I579" s="1044"/>
      <c r="J579" s="1044"/>
      <c r="K579" s="1044"/>
      <c r="L579" s="1044"/>
      <c r="M579" s="1044"/>
      <c r="N579" s="1044"/>
      <c r="O579" s="1044"/>
      <c r="P579" s="1044"/>
      <c r="Q579" s="1044"/>
      <c r="R579" s="1044"/>
      <c r="S579" s="1044"/>
      <c r="T579" s="1044"/>
      <c r="U579" s="1044"/>
      <c r="V579" s="1044"/>
      <c r="W579" s="1044"/>
      <c r="X579" s="1044"/>
      <c r="Y579" s="1044"/>
      <c r="Z579" s="1044"/>
      <c r="AA579" s="1044"/>
      <c r="AB579" s="1044"/>
      <c r="AC579" s="1044"/>
      <c r="AD579" s="1044"/>
      <c r="AE579" s="1044"/>
      <c r="AF579" s="1044"/>
      <c r="AG579" s="1044"/>
      <c r="AH579" s="1044"/>
      <c r="AI579" s="1044"/>
      <c r="AJ579" s="1044"/>
      <c r="AK579" s="1044"/>
      <c r="AL579" s="1044">
        <v>35.700000000000003</v>
      </c>
      <c r="AM579" s="1044">
        <v>2415</v>
      </c>
      <c r="AN579" s="208">
        <f t="shared" si="887"/>
        <v>60.480000000000004</v>
      </c>
      <c r="AO579" s="208">
        <f t="shared" si="888"/>
        <v>23.363095238095237</v>
      </c>
      <c r="AP579" s="1044">
        <v>1441</v>
      </c>
      <c r="AQ579" s="1047">
        <f t="shared" si="889"/>
        <v>86296.03125</v>
      </c>
      <c r="AR579" s="76">
        <f t="shared" si="890"/>
        <v>1025.8968749999913</v>
      </c>
      <c r="AS579" s="230">
        <f t="shared" si="891"/>
        <v>42.745703124999636</v>
      </c>
      <c r="AT579" s="208">
        <f t="shared" ref="AT579:AT582" si="897">AR579/(AVERAGE(AN579,AN580)*(AVERAGE(D$556,D$550,D$578,D$549,D$535,D$537,D$542,D$568,D$570,D$563))*AVERAGE(E$556,E$550,E$578,E$549,E$535,E$537,E$542,E$568,E$570,E$563)*0.0001)</f>
        <v>789.52040243742704</v>
      </c>
      <c r="AU579" s="1044"/>
      <c r="AV579" s="230">
        <f t="shared" ref="AV579:AV582" si="898">AR579/(AVERAGE(AN580,AN579)*AVERAGE(D$556,D$550,D$578,D$549,D$535,D$537,D$542,D$568,D$570,D$563)*0.01)</f>
        <v>596.70233933494615</v>
      </c>
      <c r="AW579" s="855">
        <f t="shared" si="881"/>
        <v>0.72604166666666048</v>
      </c>
      <c r="AX579" s="1044"/>
      <c r="AY579" s="1044"/>
      <c r="AZ579" s="1044"/>
      <c r="BA579" s="1044"/>
      <c r="BB579" s="1044"/>
      <c r="BC579" s="1044"/>
      <c r="BD579" s="1044"/>
      <c r="BE579" s="1044"/>
      <c r="BF579" s="1044"/>
      <c r="BG579" s="1044"/>
      <c r="BH579" s="1044"/>
      <c r="BI579" s="1044"/>
      <c r="BJ579" s="1044"/>
      <c r="BK579" s="1044"/>
      <c r="BL579" s="1044"/>
      <c r="BM579" s="1044"/>
      <c r="BN579" s="1044"/>
      <c r="BO579" s="1044"/>
      <c r="BP579" s="1044"/>
      <c r="BQ579" s="1044"/>
      <c r="BR579" s="1044"/>
      <c r="BS579" s="1044"/>
      <c r="BT579" s="1044"/>
      <c r="BU579" s="1044"/>
      <c r="BV579" s="1044"/>
      <c r="BW579" s="1044">
        <v>50.7</v>
      </c>
      <c r="BX579" s="1044">
        <v>1455</v>
      </c>
      <c r="BY579" s="1054">
        <f t="shared" si="892"/>
        <v>32</v>
      </c>
      <c r="BZ579" s="1054">
        <f t="shared" si="893"/>
        <v>23.3125</v>
      </c>
      <c r="CA579" s="1044">
        <v>762</v>
      </c>
      <c r="CB579" s="1047">
        <f t="shared" si="894"/>
        <v>46180.078125</v>
      </c>
      <c r="CC579" s="208">
        <f t="shared" si="895"/>
        <v>429.296875</v>
      </c>
      <c r="CD579" s="208">
        <f t="shared" si="896"/>
        <v>17.887369791666668</v>
      </c>
      <c r="CE579" s="230">
        <f t="shared" ref="CE579:CE582" si="899">CC579/(AVERAGE(BY580,BY579)*(AVERAGE(D$556,D$550,D$578,D$549,D$535,D$537,D$542,D$568,D$570,D$563))*AVERAGE(E$556,E$550,E$578,E$549,E$535,E$537,E$542,E$568,E$570,E$563)*0.0001)</f>
        <v>624.42341727924736</v>
      </c>
      <c r="CF579" s="1044"/>
      <c r="CG579" s="208">
        <f>CC579/(AVERAGE(BY579,BY580)*AVERAGE((D$556,D$550,D$578,D$549,D$535,D$537,D$542,D$568,D$570,D$563))*0.01)</f>
        <v>471.92563064331699</v>
      </c>
      <c r="CH579" s="855">
        <f t="shared" si="883"/>
        <v>0.57546497989276135</v>
      </c>
      <c r="CI579" s="1044"/>
      <c r="CJ579" s="1044"/>
      <c r="CK579" s="1044"/>
      <c r="CL579" s="1044"/>
      <c r="CM579" s="1044"/>
      <c r="CN579" s="1044"/>
    </row>
    <row r="580" spans="1:92" ht="15">
      <c r="A580" s="1034">
        <f t="shared" si="823"/>
        <v>41735</v>
      </c>
      <c r="B580" s="1035"/>
      <c r="C580" s="854">
        <f t="shared" si="853"/>
        <v>24</v>
      </c>
      <c r="D580" s="1044"/>
      <c r="E580" s="1044"/>
      <c r="F580" s="1044"/>
      <c r="G580" s="1044"/>
      <c r="H580" s="1044"/>
      <c r="I580" s="1044"/>
      <c r="J580" s="1044"/>
      <c r="K580" s="1044"/>
      <c r="L580" s="1044"/>
      <c r="M580" s="1044">
        <v>50</v>
      </c>
      <c r="N580" s="1044">
        <v>80</v>
      </c>
      <c r="O580" s="1044"/>
      <c r="P580" s="65">
        <v>1050</v>
      </c>
      <c r="Q580" s="210">
        <f t="shared" ref="Q580" si="900">P580/((N580-M580)*N$4)</f>
        <v>6.9665605095541405</v>
      </c>
      <c r="R580" s="225">
        <f t="shared" ref="R580" si="901">10*Q580/(AVERAGE(D$261,D$262))</f>
        <v>23.144719300844322</v>
      </c>
      <c r="S580" s="1044"/>
      <c r="T580" s="1044"/>
      <c r="U580" s="1044"/>
      <c r="V580" s="1044"/>
      <c r="W580" s="1044"/>
      <c r="X580" s="1044"/>
      <c r="Y580" s="1044"/>
      <c r="Z580" s="1044"/>
      <c r="AA580" s="1044"/>
      <c r="AB580" s="1044"/>
      <c r="AC580" s="1044"/>
      <c r="AD580" s="1044"/>
      <c r="AE580" s="1044"/>
      <c r="AF580" s="1044"/>
      <c r="AG580" s="1044"/>
      <c r="AH580" s="1044"/>
      <c r="AI580" s="1044"/>
      <c r="AJ580" s="1044"/>
      <c r="AK580" s="1044"/>
      <c r="AL580" s="1044">
        <v>35.700000000000003</v>
      </c>
      <c r="AM580" s="1044">
        <v>2443</v>
      </c>
      <c r="AN580" s="208">
        <f t="shared" si="887"/>
        <v>60.480000000000004</v>
      </c>
      <c r="AO580" s="208">
        <f t="shared" si="888"/>
        <v>23.363095238095237</v>
      </c>
      <c r="AP580" s="1044">
        <v>1454</v>
      </c>
      <c r="AQ580" s="1047">
        <f t="shared" si="889"/>
        <v>87080.540625000009</v>
      </c>
      <c r="AR580" s="76">
        <f t="shared" si="890"/>
        <v>784.50937500000873</v>
      </c>
      <c r="AS580" s="230">
        <f t="shared" si="891"/>
        <v>32.687890625000364</v>
      </c>
      <c r="AT580" s="208">
        <f t="shared" si="897"/>
        <v>603.75089598157365</v>
      </c>
      <c r="AU580" s="1044"/>
      <c r="AV580" s="230">
        <f t="shared" si="898"/>
        <v>456.30178890320309</v>
      </c>
      <c r="AW580" s="855">
        <f t="shared" si="881"/>
        <v>0.55520833333333952</v>
      </c>
      <c r="AX580" s="1044"/>
      <c r="AY580" s="1044"/>
      <c r="AZ580" s="1044"/>
      <c r="BA580" s="1044"/>
      <c r="BB580" s="1044"/>
      <c r="BC580" s="1044"/>
      <c r="BD580" s="1044"/>
      <c r="BE580" s="1044"/>
      <c r="BF580" s="1044"/>
      <c r="BG580" s="1044"/>
      <c r="BH580" s="1044"/>
      <c r="BI580" s="1044"/>
      <c r="BJ580" s="1044"/>
      <c r="BK580" s="1044"/>
      <c r="BL580" s="1044"/>
      <c r="BM580" s="1044"/>
      <c r="BN580" s="1044"/>
      <c r="BO580" s="1044"/>
      <c r="BP580" s="1044"/>
      <c r="BQ580" s="1044"/>
      <c r="BR580" s="1044"/>
      <c r="BS580" s="1044"/>
      <c r="BT580" s="1044"/>
      <c r="BU580" s="1044"/>
      <c r="BV580" s="1044"/>
      <c r="BW580" s="1044">
        <v>50.5</v>
      </c>
      <c r="BX580" s="1044">
        <v>1471</v>
      </c>
      <c r="BY580" s="1054">
        <f t="shared" si="892"/>
        <v>32</v>
      </c>
      <c r="BZ580" s="1054">
        <f t="shared" si="893"/>
        <v>23.3125</v>
      </c>
      <c r="CA580" s="1044">
        <v>769</v>
      </c>
      <c r="CB580" s="1047">
        <f t="shared" si="894"/>
        <v>46609.375</v>
      </c>
      <c r="CC580" s="208">
        <f t="shared" si="895"/>
        <v>429.296875</v>
      </c>
      <c r="CD580" s="208">
        <f t="shared" si="896"/>
        <v>17.887369791666668</v>
      </c>
      <c r="CE580" s="230">
        <f t="shared" si="899"/>
        <v>624.42341727924736</v>
      </c>
      <c r="CF580" s="1044"/>
      <c r="CG580" s="208">
        <f>CC580/(AVERAGE(BY580,BY581)*AVERAGE((D$556,D$550,D$578,D$549,D$535,D$537,D$542,D$568,D$570,D$563))*0.01)</f>
        <v>471.92563064331699</v>
      </c>
      <c r="CH580" s="855">
        <f t="shared" si="883"/>
        <v>0.57546497989276135</v>
      </c>
      <c r="CI580" s="1044"/>
      <c r="CJ580" s="1044"/>
      <c r="CK580" s="1044"/>
      <c r="CL580" s="1044"/>
      <c r="CM580" s="1044"/>
      <c r="CN580" s="1044"/>
    </row>
    <row r="581" spans="1:92">
      <c r="A581" s="1034">
        <f t="shared" si="823"/>
        <v>41736</v>
      </c>
      <c r="B581" s="1035"/>
      <c r="C581" s="854">
        <f t="shared" si="853"/>
        <v>24</v>
      </c>
      <c r="D581" s="1044"/>
      <c r="E581" s="1044"/>
      <c r="F581" s="1044"/>
      <c r="G581" s="1044"/>
      <c r="H581" s="1044"/>
      <c r="I581" s="1044"/>
      <c r="J581" s="1044"/>
      <c r="K581" s="1044"/>
      <c r="L581" s="1044"/>
      <c r="M581" s="1044"/>
      <c r="N581" s="1044"/>
      <c r="O581" s="1044"/>
      <c r="P581" s="1044"/>
      <c r="Q581" s="1044"/>
      <c r="R581" s="1044"/>
      <c r="S581" s="1044"/>
      <c r="T581" s="1044"/>
      <c r="U581" s="1044"/>
      <c r="V581" s="1044"/>
      <c r="W581" s="1044"/>
      <c r="X581" s="1044"/>
      <c r="Y581" s="1044"/>
      <c r="Z581" s="1044"/>
      <c r="AA581" s="1044"/>
      <c r="AB581" s="1044"/>
      <c r="AC581" s="1044"/>
      <c r="AD581" s="1044"/>
      <c r="AE581" s="1044"/>
      <c r="AF581" s="1044"/>
      <c r="AG581" s="1044"/>
      <c r="AH581" s="1044"/>
      <c r="AI581" s="1044"/>
      <c r="AJ581" s="1044"/>
      <c r="AK581" s="1044"/>
      <c r="AL581" s="1044">
        <v>35.700000000000003</v>
      </c>
      <c r="AM581" s="1044">
        <v>2471</v>
      </c>
      <c r="AN581" s="208">
        <f t="shared" si="887"/>
        <v>60.480000000000004</v>
      </c>
      <c r="AO581" s="208">
        <f t="shared" si="888"/>
        <v>23.363095238095237</v>
      </c>
      <c r="AP581" s="1044">
        <v>1473</v>
      </c>
      <c r="AQ581" s="1047">
        <f t="shared" si="889"/>
        <v>88227.131250000006</v>
      </c>
      <c r="AR581" s="76">
        <f t="shared" si="890"/>
        <v>1146.5906249999971</v>
      </c>
      <c r="AS581" s="230">
        <f t="shared" si="891"/>
        <v>47.774609374999876</v>
      </c>
      <c r="AT581" s="208">
        <f t="shared" si="897"/>
        <v>882.40515566536487</v>
      </c>
      <c r="AU581" s="1044"/>
      <c r="AV581" s="230">
        <f t="shared" si="898"/>
        <v>666.90261455082612</v>
      </c>
      <c r="AW581" s="855">
        <f t="shared" si="881"/>
        <v>0.81145833333333128</v>
      </c>
      <c r="AX581" s="1044"/>
      <c r="AY581" s="1044"/>
      <c r="AZ581" s="1044"/>
      <c r="BA581" s="1044"/>
      <c r="BB581" s="1044"/>
      <c r="BC581" s="1044"/>
      <c r="BD581" s="1044"/>
      <c r="BE581" s="1044"/>
      <c r="BF581" s="1044"/>
      <c r="BG581" s="1044"/>
      <c r="BH581" s="1044"/>
      <c r="BI581" s="1044"/>
      <c r="BJ581" s="1044"/>
      <c r="BK581" s="1044"/>
      <c r="BL581" s="1044"/>
      <c r="BM581" s="1044"/>
      <c r="BN581" s="1044"/>
      <c r="BO581" s="1044"/>
      <c r="BP581" s="1044"/>
      <c r="BQ581" s="1044"/>
      <c r="BR581" s="1044"/>
      <c r="BS581" s="1044"/>
      <c r="BT581" s="1044"/>
      <c r="BU581" s="1044"/>
      <c r="BV581" s="1044"/>
      <c r="BW581" s="1044">
        <v>50.5</v>
      </c>
      <c r="BX581" s="1044">
        <v>1487</v>
      </c>
      <c r="BY581" s="1054">
        <f t="shared" si="892"/>
        <v>32</v>
      </c>
      <c r="BZ581" s="1054">
        <f t="shared" si="893"/>
        <v>23.3125</v>
      </c>
      <c r="CA581" s="1044">
        <v>777</v>
      </c>
      <c r="CB581" s="1047">
        <f t="shared" si="894"/>
        <v>47100</v>
      </c>
      <c r="CC581" s="208">
        <f t="shared" si="895"/>
        <v>490.625</v>
      </c>
      <c r="CD581" s="208">
        <f t="shared" si="896"/>
        <v>20.442708333333332</v>
      </c>
      <c r="CE581" s="230">
        <f t="shared" si="899"/>
        <v>713.62676260485409</v>
      </c>
      <c r="CF581" s="1044"/>
      <c r="CG581" s="208">
        <f>CC581/(AVERAGE(BY581,BY582)*AVERAGE((D$556,D$550,D$578,D$549,D$535,D$537,D$542,D$568,D$570,D$563))*0.01)</f>
        <v>539.34357787807653</v>
      </c>
      <c r="CH581" s="855">
        <f t="shared" si="883"/>
        <v>0.6576742627345844</v>
      </c>
      <c r="CI581" s="1044"/>
      <c r="CJ581" s="1044"/>
      <c r="CK581" s="1044"/>
      <c r="CL581" s="1044"/>
      <c r="CM581" s="1044"/>
      <c r="CN581" s="1044"/>
    </row>
    <row r="582" spans="1:92" ht="15">
      <c r="A582" s="1034">
        <f t="shared" si="823"/>
        <v>41737</v>
      </c>
      <c r="B582" s="1035"/>
      <c r="C582" s="854">
        <f t="shared" si="853"/>
        <v>24</v>
      </c>
      <c r="D582" s="1044"/>
      <c r="E582" s="1044"/>
      <c r="F582" s="1044"/>
      <c r="G582" s="1044"/>
      <c r="H582" s="1044"/>
      <c r="I582" s="1044"/>
      <c r="J582" s="1044"/>
      <c r="K582" s="1044"/>
      <c r="L582" s="1044"/>
      <c r="M582" s="1044">
        <v>60</v>
      </c>
      <c r="N582" s="1044">
        <v>85</v>
      </c>
      <c r="O582" s="1044"/>
      <c r="P582" s="65">
        <v>1050</v>
      </c>
      <c r="Q582" s="210">
        <f t="shared" ref="Q582" si="902">P582/((N582-M582)*N$4)</f>
        <v>8.3598726114649686</v>
      </c>
      <c r="R582" s="225">
        <f t="shared" ref="R582" si="903">10*Q582/(AVERAGE(D$261,D$262))</f>
        <v>27.773663161013186</v>
      </c>
      <c r="S582" s="1044"/>
      <c r="T582" s="1044"/>
      <c r="U582" s="1044"/>
      <c r="V582" s="1044"/>
      <c r="W582" s="1044"/>
      <c r="X582" s="1044"/>
      <c r="Y582" s="1044"/>
      <c r="Z582" s="1044"/>
      <c r="AA582" s="1044"/>
      <c r="AB582" s="1044"/>
      <c r="AC582" s="1044"/>
      <c r="AD582" s="1044"/>
      <c r="AE582" s="1044"/>
      <c r="AF582" s="1044"/>
      <c r="AG582" s="1044"/>
      <c r="AH582" s="1044"/>
      <c r="AI582" s="1044"/>
      <c r="AJ582" s="1044"/>
      <c r="AK582" s="1044"/>
      <c r="AL582" s="1044">
        <v>35.700000000000003</v>
      </c>
      <c r="AM582" s="1044">
        <v>2499</v>
      </c>
      <c r="AN582" s="208">
        <f t="shared" si="887"/>
        <v>60.480000000000004</v>
      </c>
      <c r="AO582" s="208">
        <f t="shared" si="888"/>
        <v>23.363095238095237</v>
      </c>
      <c r="AP582" s="1044">
        <v>1495</v>
      </c>
      <c r="AQ582" s="1047">
        <f t="shared" si="889"/>
        <v>89554.762500000012</v>
      </c>
      <c r="AR582" s="76">
        <f t="shared" si="890"/>
        <v>1327.6312500000058</v>
      </c>
      <c r="AS582" s="230">
        <f t="shared" si="891"/>
        <v>55.31796875000024</v>
      </c>
      <c r="AT582" s="208">
        <f t="shared" si="897"/>
        <v>1021.7322855072716</v>
      </c>
      <c r="AU582" s="1044"/>
      <c r="AV582" s="230">
        <f t="shared" si="898"/>
        <v>772.20302737464613</v>
      </c>
      <c r="AW582" s="855">
        <f t="shared" si="881"/>
        <v>0.93958333333333743</v>
      </c>
      <c r="AX582" s="1044"/>
      <c r="AY582" s="1044"/>
      <c r="AZ582" s="1044"/>
      <c r="BA582" s="1044"/>
      <c r="BB582" s="1044"/>
      <c r="BC582" s="1044"/>
      <c r="BD582" s="1044"/>
      <c r="BE582" s="1044"/>
      <c r="BF582" s="1044"/>
      <c r="BG582" s="1044"/>
      <c r="BH582" s="1044"/>
      <c r="BI582" s="1044"/>
      <c r="BJ582" s="1044"/>
      <c r="BK582" s="1044"/>
      <c r="BL582" s="1044"/>
      <c r="BM582" s="1044"/>
      <c r="BN582" s="1044"/>
      <c r="BO582" s="1044"/>
      <c r="BP582" s="1044"/>
      <c r="BQ582" s="1044"/>
      <c r="BR582" s="1044"/>
      <c r="BS582" s="1044"/>
      <c r="BT582" s="1044"/>
      <c r="BU582" s="1044"/>
      <c r="BV582" s="1044"/>
      <c r="BW582" s="1044">
        <v>50.4</v>
      </c>
      <c r="BX582" s="1044">
        <v>1503</v>
      </c>
      <c r="BY582" s="1054">
        <f t="shared" si="892"/>
        <v>32</v>
      </c>
      <c r="BZ582" s="1054">
        <f t="shared" si="893"/>
        <v>23.3125</v>
      </c>
      <c r="CA582" s="1044">
        <v>785</v>
      </c>
      <c r="CB582" s="1047">
        <f t="shared" si="894"/>
        <v>47590.625</v>
      </c>
      <c r="CC582" s="208">
        <f t="shared" si="895"/>
        <v>490.625</v>
      </c>
      <c r="CD582" s="208">
        <f t="shared" si="896"/>
        <v>20.442708333333332</v>
      </c>
      <c r="CE582" s="230">
        <f t="shared" si="899"/>
        <v>713.62676260485409</v>
      </c>
      <c r="CF582" s="1044"/>
      <c r="CG582" s="208">
        <f>CC582/(AVERAGE(BY582,BY583)*AVERAGE((D$556,D$550,D$578,D$549,D$535,D$537,D$542,D$568,D$570,D$563))*0.01)</f>
        <v>539.34357787807653</v>
      </c>
      <c r="CH582" s="855">
        <f t="shared" si="883"/>
        <v>0.6576742627345844</v>
      </c>
      <c r="CI582" s="1044"/>
      <c r="CJ582" s="1044"/>
      <c r="CK582" s="1044"/>
      <c r="CL582" s="1044"/>
      <c r="CM582" s="1044"/>
      <c r="CN582" s="1044"/>
    </row>
    <row r="583" spans="1:92" s="337" customFormat="1">
      <c r="A583" s="1036">
        <f t="shared" si="823"/>
        <v>41738</v>
      </c>
      <c r="B583" s="1037"/>
      <c r="C583" s="847">
        <f t="shared" si="853"/>
        <v>24</v>
      </c>
      <c r="D583" s="1046">
        <v>2.7</v>
      </c>
      <c r="E583" s="1046">
        <v>79.02</v>
      </c>
      <c r="F583" s="1023"/>
      <c r="G583" s="1046">
        <v>5.68</v>
      </c>
      <c r="H583" s="1023"/>
      <c r="I583" s="1023"/>
      <c r="J583" s="1023"/>
      <c r="K583" s="1023"/>
      <c r="L583" s="1023"/>
      <c r="M583" s="1023">
        <v>80</v>
      </c>
      <c r="N583" s="1023"/>
      <c r="O583" s="1023"/>
      <c r="P583" s="1023"/>
      <c r="Q583" s="1023"/>
      <c r="R583" s="1023"/>
      <c r="S583" s="1023"/>
      <c r="T583" s="1023"/>
      <c r="U583" s="1023"/>
      <c r="V583" s="1046">
        <v>1.85</v>
      </c>
      <c r="W583" s="1046">
        <v>66.08</v>
      </c>
      <c r="X583" s="1023"/>
      <c r="Y583" s="1023"/>
      <c r="Z583" s="1023"/>
      <c r="AA583" s="1023"/>
      <c r="AB583" s="1023"/>
      <c r="AC583" s="1023"/>
      <c r="AD583" s="1021">
        <f>D578*(100-E578)/(100-W583)</f>
        <v>1.407429245283019</v>
      </c>
      <c r="AE583" s="1055">
        <f>D578-V583</f>
        <v>0.35000000000000009</v>
      </c>
      <c r="AF583" s="847">
        <f>100*(AVERAGE(D$556,D$550,D$578,D$549,D$583,D$537,D$542,D$568,D$570,D$563)-V583)/AVERAGE(D$556,D$550,D$578,D$549,D$583,D$537,D$542,D$568,D$570,D$563)</f>
        <v>34.084192641647782</v>
      </c>
      <c r="AG583" s="847">
        <f>100*(1-((100-AVERAGE(E$556,E$550,E$578,E$549,E$583,E$537,E$542,E$568,E$570,E$563))/(100-W583)))</f>
        <v>30.050037649646242</v>
      </c>
      <c r="AH583" s="1055">
        <f>E578-W583</f>
        <v>12.219999999999999</v>
      </c>
      <c r="AI583" s="847">
        <f>100*(1-((V583*W583)/(AVERAGE(D$556,D$550,D$578,D$549,D$583,D$537,D$542,D$568,D$570,D$563)*AVERAGE(E$556,E$550,E$578,E$549,E$583,E$537,E$542,E$568,E$570,E$563))))</f>
        <v>42.893053830075431</v>
      </c>
      <c r="AJ583" s="847">
        <f>100*100*((AVERAGE(E$556,E$550,E$578,E$549,E$583,E$537,E$542,E$568,E$570,E$563)-W583)/((100-W583)*AVERAGE(E$556,E$550,E$578,E$549,E$583,E$537,E$542,E$568,E$570,E$563)))</f>
        <v>39.398015519812311</v>
      </c>
      <c r="AK583" s="1046">
        <v>7.05</v>
      </c>
      <c r="AL583" s="1023">
        <v>35.6</v>
      </c>
      <c r="AM583" s="1023">
        <v>2527</v>
      </c>
      <c r="AN583" s="208">
        <f t="shared" si="887"/>
        <v>60.480000000000004</v>
      </c>
      <c r="AO583" s="208">
        <f t="shared" si="888"/>
        <v>23.363095238095237</v>
      </c>
      <c r="AP583" s="1023">
        <v>1518</v>
      </c>
      <c r="AQ583" s="1047">
        <f t="shared" si="889"/>
        <v>90942.740625000006</v>
      </c>
      <c r="AR583" s="76">
        <f t="shared" si="890"/>
        <v>1387.9781249999942</v>
      </c>
      <c r="AS583" s="230">
        <f t="shared" si="891"/>
        <v>57.83242187499976</v>
      </c>
      <c r="AT583" s="208">
        <f>AR583/(AVERAGE(AN583,AN584)*(AVERAGE(D$556,D$550,D$578,D$549,D$583,D$537,D$542,D$568,D$570,D$563))*AVERAGE(E$556,E$550,E$578,E$549,E$583,E$537,E$542,E$568,E$570,E$563)*0.0001)</f>
        <v>1072.0573358592872</v>
      </c>
      <c r="AU583" s="597">
        <f>(AQ583-AQ577)/(AVERAGE(AN577:AN583)*((AVERAGE(D$556,D$550,D$578,D$549,D$583,D$537,D$542,D$568,D$570,D$563)*AVERAGE(E$556,E$550,E$578,E$549,E$583,E$537,E$542,E$568,E$570,E$563))-(V583*W583))*0.0001*(SUM(C577:C583)/24))</f>
        <v>1692.1219819780626</v>
      </c>
      <c r="AV583" s="230">
        <f>AR583/(AVERAGE(AN584,AN583)*AVERAGE(D$556,D$550,D$578,D$549,D$583,D$537,D$542,D$568,D$570,D$563)*0.01)</f>
        <v>817.68999986688937</v>
      </c>
      <c r="AW583" s="855">
        <f t="shared" si="881"/>
        <v>0.98229166666666257</v>
      </c>
      <c r="AX583" s="1023">
        <v>68.900000000000006</v>
      </c>
      <c r="AY583" s="1023">
        <v>31</v>
      </c>
      <c r="AZ583" s="1023">
        <v>0</v>
      </c>
      <c r="BA583" s="1023">
        <v>7</v>
      </c>
      <c r="BB583" s="1023">
        <v>60</v>
      </c>
      <c r="BC583" s="1023"/>
      <c r="BD583" s="1023"/>
      <c r="BE583" s="1023"/>
      <c r="BF583" s="1023"/>
      <c r="BG583" s="1046">
        <v>1.81</v>
      </c>
      <c r="BH583" s="1046">
        <v>62.22</v>
      </c>
      <c r="BI583" s="1023"/>
      <c r="BJ583" s="1023"/>
      <c r="BK583" s="1023"/>
      <c r="BL583" s="1023"/>
      <c r="BM583" s="1023"/>
      <c r="BN583" s="1023"/>
      <c r="BO583" s="847">
        <f>D578*(100-E578)/(100-BH583)</f>
        <v>1.2636315510852305</v>
      </c>
      <c r="BP583" s="1055">
        <f>D578-BG583</f>
        <v>0.39000000000000012</v>
      </c>
      <c r="BQ583" s="1056">
        <f>100*(AVERAGE(D$556,D$550,D$578,D$549,D$583,D$537,D$542,D$568,D$570,D$563)-BG583)/AVERAGE(D$556,D$550,D$578,D$549,D$583,D$537,D$542,D$568,D$570,D$563)</f>
        <v>35.509399287233784</v>
      </c>
      <c r="BR583" s="1056">
        <f>100*(1-((100-AVERAGE(E$556,E$550,E$578,E$549,E$583,E$537,E$542,E$568,E$570,E$563))/(100-BH583)))</f>
        <v>37.196857519216529</v>
      </c>
      <c r="BS583" s="1055">
        <f>E578-BH583</f>
        <v>16.079999999999998</v>
      </c>
      <c r="BT583" s="1055">
        <f>100*(1-((BG583*BH583)/(AVERAGE(D$556,D$550,D$578,D$549,D$583,D$537,D$542,D$568,D$570,D$563)*AVERAGE(E$556,E$550,E$578,E$549,E$583,E$537,E$542,E$568,E$570,E$563))))</f>
        <v>47.391519819107067</v>
      </c>
      <c r="BU583" s="847">
        <f>100*100*((AVERAGE(E$556,E$550,E$578,E$549,E$583,E$537,E$542,E$568,E$570,E$563)-BH583)/((100-BH583)*AVERAGE(E$556,E$550,E$578,E$549,E$583,E$537,E$542,E$568,E$570,E$563)))</f>
        <v>48.768071005980659</v>
      </c>
      <c r="BV583" s="1046">
        <v>7.15</v>
      </c>
      <c r="BW583" s="1023">
        <v>50.7</v>
      </c>
      <c r="BX583" s="1023">
        <v>1519</v>
      </c>
      <c r="BY583" s="1054">
        <f t="shared" si="892"/>
        <v>32</v>
      </c>
      <c r="BZ583" s="1054">
        <f t="shared" si="893"/>
        <v>23.3125</v>
      </c>
      <c r="CA583" s="1023">
        <v>791</v>
      </c>
      <c r="CB583" s="1047">
        <f t="shared" si="894"/>
        <v>47958.59375</v>
      </c>
      <c r="CC583" s="208">
        <f t="shared" si="895"/>
        <v>367.96875</v>
      </c>
      <c r="CD583" s="208">
        <f t="shared" si="896"/>
        <v>15.33203125</v>
      </c>
      <c r="CE583" s="230">
        <f>CC583/(AVERAGE(BY584,BY583)*(AVERAGE(D$556,D$550,D$578,D$549,D$583,D$537,D$542,D$568,D$570,D$563))*AVERAGE(E$556,E$550,E$578,E$549,E$583,E$537,E$542,E$568,E$570,E$563)*0.0001)</f>
        <v>537.16552618612445</v>
      </c>
      <c r="CF583" s="334">
        <f>(CB583-CB577)/(AVERAGE(BY577:BY583)*((AVERAGE(D$556,D$550,D$578,D$549,D$583,D$537,D$542,D$568,D$570,D$563)*AVERAGE(E$556,E$550,E$578,E$549,E$583,E$537,E$542,E$568,E$570,E$563))-(BG583*BH583))*0.0001*(SUM(C577:C583)/24))</f>
        <v>1133.4633880417418</v>
      </c>
      <c r="CG583" s="208">
        <f>CC583/(AVERAGE(BY583,BY584)*AVERAGE((D$556,D$550,D$578,D$549,D$583,D$537,D$542,D$568,D$570,D$563))*0.01)</f>
        <v>409.71211552185247</v>
      </c>
      <c r="CH583" s="855">
        <f t="shared" si="883"/>
        <v>0.49325569705093836</v>
      </c>
      <c r="CI583" s="1023">
        <v>67.900000000000006</v>
      </c>
      <c r="CJ583" s="1023">
        <v>32</v>
      </c>
      <c r="CK583" s="1023">
        <v>0</v>
      </c>
      <c r="CL583" s="1023">
        <v>26</v>
      </c>
      <c r="CM583" s="1023">
        <v>135</v>
      </c>
      <c r="CN583" s="1023"/>
    </row>
    <row r="584" spans="1:92">
      <c r="A584" s="1034">
        <f t="shared" si="823"/>
        <v>41739</v>
      </c>
      <c r="B584" s="1035"/>
      <c r="C584" s="854">
        <f t="shared" si="853"/>
        <v>24</v>
      </c>
      <c r="D584" s="1044"/>
      <c r="E584" s="1044"/>
      <c r="F584" s="1044"/>
      <c r="G584" s="1044"/>
      <c r="H584" s="1044"/>
      <c r="I584" s="1044"/>
      <c r="J584" s="1044"/>
      <c r="K584" s="1044"/>
      <c r="L584" s="1044"/>
      <c r="M584" s="1044"/>
      <c r="N584" s="1044"/>
      <c r="O584" s="1044"/>
      <c r="P584" s="1044"/>
      <c r="Q584" s="1044"/>
      <c r="R584" s="1044"/>
      <c r="S584" s="1044"/>
      <c r="T584" s="1044"/>
      <c r="U584" s="1044"/>
      <c r="V584" s="1044"/>
      <c r="W584" s="1044"/>
      <c r="X584" s="1044"/>
      <c r="Y584" s="1044"/>
      <c r="Z584" s="1044"/>
      <c r="AA584" s="1044"/>
      <c r="AB584" s="1044"/>
      <c r="AC584" s="1044"/>
      <c r="AD584" s="1044"/>
      <c r="AE584" s="1044"/>
      <c r="AF584" s="1044"/>
      <c r="AG584" s="1044"/>
      <c r="AH584" s="1044"/>
      <c r="AI584" s="1044"/>
      <c r="AJ584" s="1044"/>
      <c r="AK584" s="1044"/>
      <c r="AL584" s="1044">
        <v>35.700000000000003</v>
      </c>
      <c r="AM584" s="1099">
        <v>2555</v>
      </c>
      <c r="AN584" s="208">
        <f t="shared" ref="AN584:AN591" si="904">(AM584-AM583)*AQ$1/((C583)/24)</f>
        <v>60.480000000000004</v>
      </c>
      <c r="AO584" s="208">
        <f t="shared" ref="AO584:AO591" si="905">AQ$3/AN584</f>
        <v>23.363095238095237</v>
      </c>
      <c r="AP584" s="1044">
        <v>1539</v>
      </c>
      <c r="AQ584" s="1099">
        <f t="shared" si="889"/>
        <v>92210.025000000009</v>
      </c>
      <c r="AR584" s="76">
        <f t="shared" ref="AR584:AR591" si="906">(AQ584-AQ583)/(C584/24)</f>
        <v>1267.2843750000029</v>
      </c>
      <c r="AS584" s="230">
        <f t="shared" ref="AS584:AS591" si="907">(AQ584-AQ583)/C584</f>
        <v>52.803515625000124</v>
      </c>
      <c r="AT584" s="208">
        <f t="shared" ref="AT584:AT590" si="908">AR584/(AVERAGE(AN584,AN585)*(AVERAGE(D$556,D$550,D$578,D$549,D$583,D$537,D$542,D$568,D$570,D$563))*AVERAGE(E$556,E$550,E$578,E$549,E$583,E$537,E$542,E$568,E$570,E$563)*0.0001)</f>
        <v>1074.7991704778603</v>
      </c>
      <c r="AU584" s="1044"/>
      <c r="AV584" s="230">
        <f t="shared" ref="AV584:AV590" si="909">AR584/(AVERAGE(AN585,AN584)*AVERAGE(D$556,D$550,D$578,D$549,D$583,D$537,D$542,D$568,D$570,D$563)*0.01)</f>
        <v>819.7812786389328</v>
      </c>
      <c r="AW584" s="855">
        <f t="shared" si="881"/>
        <v>0.89687500000000209</v>
      </c>
      <c r="AX584" s="1044"/>
      <c r="AY584" s="1044"/>
      <c r="AZ584" s="1044"/>
      <c r="BA584" s="1044"/>
      <c r="BB584" s="1044"/>
      <c r="BC584" s="1044"/>
      <c r="BD584" s="1044"/>
      <c r="BE584" s="1044"/>
      <c r="BF584" s="1044"/>
      <c r="BG584" s="1044"/>
      <c r="BH584" s="1044"/>
      <c r="BI584" s="1044"/>
      <c r="BJ584" s="1044"/>
      <c r="BK584" s="1044"/>
      <c r="BL584" s="1044"/>
      <c r="BM584" s="1044"/>
      <c r="BN584" s="1044"/>
      <c r="BO584" s="1044"/>
      <c r="BP584" s="1044"/>
      <c r="BQ584" s="1044"/>
      <c r="BR584" s="1044"/>
      <c r="BS584" s="1044"/>
      <c r="BT584" s="1044"/>
      <c r="BU584" s="1044"/>
      <c r="BV584" s="1044"/>
      <c r="BW584" s="1044">
        <v>50.6</v>
      </c>
      <c r="BX584" s="1044">
        <v>1535</v>
      </c>
      <c r="BY584" s="1054">
        <f t="shared" ref="BY584:BY591" si="910">(BX584-BX583)*CB$1/((C584)/24)</f>
        <v>32</v>
      </c>
      <c r="BZ584" s="1054">
        <f t="shared" ref="BZ584:BZ591" si="911">CB$3/BY584</f>
        <v>23.3125</v>
      </c>
      <c r="CA584" s="1044">
        <v>800</v>
      </c>
      <c r="CB584" s="1047">
        <f t="shared" si="894"/>
        <v>48510.546875</v>
      </c>
      <c r="CC584" s="208">
        <f t="shared" ref="CC584:CC591" si="912">(CB584-CB583)/((C584/24))</f>
        <v>551.953125</v>
      </c>
      <c r="CD584" s="208">
        <f t="shared" ref="CD584:CD591" si="913">(CB584-CB583)/(C584)</f>
        <v>22.998046875</v>
      </c>
      <c r="CE584" s="230">
        <f t="shared" ref="CE584:CE590" si="914">CC584/(AVERAGE(BY585,BY584)*(AVERAGE(D$556,D$550,D$578,D$549,D$583,D$537,D$542,D$568,D$570,D$563))*AVERAGE(E$556,E$550,E$578,E$549,E$583,E$537,E$542,E$568,E$570,E$563)*0.0001)</f>
        <v>805.74828927918668</v>
      </c>
      <c r="CF584" s="1044"/>
      <c r="CG584" s="208">
        <f>CC584/(AVERAGE(BY584,BY585)*AVERAGE((D$556,D$550,D$578,D$549,D$583,D$537,D$542,D$568,D$570,D$563))*0.01)</f>
        <v>614.56817328277873</v>
      </c>
      <c r="CH584" s="855">
        <f t="shared" ref="CH584:CH647" si="915">CC584/CB$3</f>
        <v>0.73988354557640745</v>
      </c>
      <c r="CI584" s="1044"/>
      <c r="CJ584" s="1044"/>
      <c r="CK584" s="1044"/>
      <c r="CL584" s="1044"/>
      <c r="CM584" s="1044"/>
      <c r="CN584" s="1044"/>
    </row>
    <row r="585" spans="1:92" ht="15">
      <c r="A585" s="1034">
        <f t="shared" si="823"/>
        <v>41740</v>
      </c>
      <c r="B585" s="1035"/>
      <c r="C585" s="854">
        <f t="shared" si="853"/>
        <v>24</v>
      </c>
      <c r="D585" s="1044"/>
      <c r="E585" s="1044"/>
      <c r="F585" s="1044"/>
      <c r="G585" s="1044"/>
      <c r="H585" s="1044"/>
      <c r="I585" s="1044"/>
      <c r="J585" s="1044"/>
      <c r="K585" s="1044"/>
      <c r="L585" s="1044"/>
      <c r="M585" s="1044">
        <v>55</v>
      </c>
      <c r="N585" s="1044">
        <v>85</v>
      </c>
      <c r="O585" s="1044"/>
      <c r="P585" s="1044">
        <v>1050</v>
      </c>
      <c r="Q585" s="210">
        <f t="shared" ref="Q585" si="916">P585/((N585-M585)*N$4)</f>
        <v>6.9665605095541405</v>
      </c>
      <c r="R585" s="225">
        <f t="shared" ref="R585" si="917">10*Q585/(AVERAGE(D$261,D$262))</f>
        <v>23.144719300844322</v>
      </c>
      <c r="S585" s="1044"/>
      <c r="T585" s="1044"/>
      <c r="U585" s="1044"/>
      <c r="V585" s="1044"/>
      <c r="W585" s="1044"/>
      <c r="X585" s="1044"/>
      <c r="Y585" s="1044"/>
      <c r="Z585" s="1044"/>
      <c r="AA585" s="1044"/>
      <c r="AB585" s="1044"/>
      <c r="AC585" s="1044"/>
      <c r="AD585" s="1044"/>
      <c r="AE585" s="1044"/>
      <c r="AF585" s="1044"/>
      <c r="AG585" s="1044"/>
      <c r="AH585" s="1044"/>
      <c r="AI585" s="1044"/>
      <c r="AJ585" s="1044"/>
      <c r="AK585" s="1044"/>
      <c r="AL585" s="1044">
        <v>35.700000000000003</v>
      </c>
      <c r="AM585" s="1099">
        <v>2578</v>
      </c>
      <c r="AN585" s="208">
        <f t="shared" si="904"/>
        <v>49.680000000000007</v>
      </c>
      <c r="AO585" s="208">
        <f t="shared" si="905"/>
        <v>28.442028985507243</v>
      </c>
      <c r="AP585" s="1044">
        <v>1561</v>
      </c>
      <c r="AQ585" s="1099">
        <f t="shared" si="889"/>
        <v>93537.65625</v>
      </c>
      <c r="AR585" s="76">
        <f t="shared" si="906"/>
        <v>1327.6312499999913</v>
      </c>
      <c r="AS585" s="230">
        <f t="shared" si="907"/>
        <v>55.317968749999636</v>
      </c>
      <c r="AT585" s="208">
        <f t="shared" si="908"/>
        <v>1740.1510379165204</v>
      </c>
      <c r="AU585" s="1044"/>
      <c r="AV585" s="230">
        <f t="shared" si="909"/>
        <v>1327.264927320165</v>
      </c>
      <c r="AW585" s="855">
        <f t="shared" si="881"/>
        <v>0.93958333333332711</v>
      </c>
      <c r="AX585" s="1044"/>
      <c r="AY585" s="1044"/>
      <c r="AZ585" s="1044"/>
      <c r="BA585" s="1044"/>
      <c r="BB585" s="1044"/>
      <c r="BC585" s="1044"/>
      <c r="BD585" s="1044"/>
      <c r="BE585" s="1044"/>
      <c r="BF585" s="1044"/>
      <c r="BG585" s="1044"/>
      <c r="BH585" s="1044"/>
      <c r="BI585" s="1044"/>
      <c r="BJ585" s="1044"/>
      <c r="BK585" s="1044"/>
      <c r="BL585" s="1044"/>
      <c r="BM585" s="1044"/>
      <c r="BN585" s="1044"/>
      <c r="BO585" s="1044"/>
      <c r="BP585" s="1044"/>
      <c r="BQ585" s="1044"/>
      <c r="BR585" s="1044"/>
      <c r="BS585" s="1044"/>
      <c r="BT585" s="1044"/>
      <c r="BU585" s="1044"/>
      <c r="BV585" s="1044"/>
      <c r="BW585" s="1044">
        <v>50.6</v>
      </c>
      <c r="BX585" s="1044">
        <v>1551</v>
      </c>
      <c r="BY585" s="1054">
        <f t="shared" si="910"/>
        <v>32</v>
      </c>
      <c r="BZ585" s="1054">
        <f t="shared" si="911"/>
        <v>23.3125</v>
      </c>
      <c r="CA585" s="1044">
        <v>811</v>
      </c>
      <c r="CB585" s="1047">
        <f t="shared" si="894"/>
        <v>49185.15625</v>
      </c>
      <c r="CC585" s="208">
        <f t="shared" si="912"/>
        <v>674.609375</v>
      </c>
      <c r="CD585" s="208">
        <f t="shared" si="913"/>
        <v>28.108723958333332</v>
      </c>
      <c r="CE585" s="230">
        <f t="shared" si="914"/>
        <v>984.8034646745615</v>
      </c>
      <c r="CF585" s="1044"/>
      <c r="CG585" s="208">
        <f>CC585/(AVERAGE(BY585,BY586)*AVERAGE((D$556,D$550,D$578,D$549,D$583,D$537,D$542,D$568,D$570,D$563))*0.01)</f>
        <v>751.13887845672957</v>
      </c>
      <c r="CH585" s="855">
        <f t="shared" si="915"/>
        <v>0.90430211126005366</v>
      </c>
      <c r="CI585" s="1044"/>
      <c r="CJ585" s="1044"/>
      <c r="CK585" s="1044"/>
      <c r="CL585" s="1044"/>
      <c r="CM585" s="1044"/>
      <c r="CN585" s="1044"/>
    </row>
    <row r="586" spans="1:92">
      <c r="A586" s="1034">
        <f t="shared" si="823"/>
        <v>41741</v>
      </c>
      <c r="B586" s="1035"/>
      <c r="C586" s="854">
        <f t="shared" si="853"/>
        <v>24</v>
      </c>
      <c r="D586" s="1044"/>
      <c r="E586" s="1044"/>
      <c r="F586" s="1044"/>
      <c r="G586" s="1044"/>
      <c r="H586" s="1044"/>
      <c r="I586" s="1044"/>
      <c r="J586" s="1044"/>
      <c r="K586" s="1044"/>
      <c r="L586" s="1044"/>
      <c r="M586" s="1044"/>
      <c r="N586" s="1044"/>
      <c r="O586" s="1044"/>
      <c r="P586" s="1044"/>
      <c r="Q586" s="1044"/>
      <c r="R586" s="1044"/>
      <c r="S586" s="1044"/>
      <c r="T586" s="1044"/>
      <c r="U586" s="1044"/>
      <c r="V586" s="1044"/>
      <c r="W586" s="1044"/>
      <c r="X586" s="1044"/>
      <c r="Y586" s="1044"/>
      <c r="Z586" s="1044"/>
      <c r="AA586" s="1044"/>
      <c r="AB586" s="1044"/>
      <c r="AC586" s="1044"/>
      <c r="AD586" s="1044"/>
      <c r="AE586" s="1044"/>
      <c r="AF586" s="1044"/>
      <c r="AG586" s="1044"/>
      <c r="AH586" s="1044"/>
      <c r="AI586" s="1044"/>
      <c r="AJ586" s="1044"/>
      <c r="AK586" s="1044"/>
      <c r="AL586" s="1044">
        <v>35.700000000000003</v>
      </c>
      <c r="AM586" s="1099">
        <v>2588</v>
      </c>
      <c r="AN586" s="208">
        <f t="shared" si="904"/>
        <v>21.6</v>
      </c>
      <c r="AO586" s="208">
        <f t="shared" si="905"/>
        <v>65.416666666666657</v>
      </c>
      <c r="AP586" s="1099">
        <v>1576</v>
      </c>
      <c r="AQ586" s="1099">
        <f t="shared" si="889"/>
        <v>94442.859375</v>
      </c>
      <c r="AR586" s="76">
        <f t="shared" si="906"/>
        <v>905.203125</v>
      </c>
      <c r="AS586" s="230">
        <f t="shared" si="907"/>
        <v>37.716796875</v>
      </c>
      <c r="AT586" s="208">
        <f t="shared" si="908"/>
        <v>1702.3216675270417</v>
      </c>
      <c r="AU586" s="1044"/>
      <c r="AV586" s="230">
        <f t="shared" si="909"/>
        <v>1298.4113419436483</v>
      </c>
      <c r="AW586" s="855">
        <f t="shared" si="881"/>
        <v>0.640625</v>
      </c>
      <c r="AX586" s="1044"/>
      <c r="AY586" s="1044"/>
      <c r="AZ586" s="1044"/>
      <c r="BA586" s="1044"/>
      <c r="BB586" s="1044"/>
      <c r="BC586" s="1044"/>
      <c r="BD586" s="1044"/>
      <c r="BE586" s="1044"/>
      <c r="BF586" s="1044"/>
      <c r="BG586" s="1044"/>
      <c r="BH586" s="1044"/>
      <c r="BI586" s="1044"/>
      <c r="BJ586" s="1044"/>
      <c r="BK586" s="1044"/>
      <c r="BL586" s="1044"/>
      <c r="BM586" s="1044"/>
      <c r="BN586" s="1044"/>
      <c r="BO586" s="1044"/>
      <c r="BP586" s="1044"/>
      <c r="BQ586" s="1044"/>
      <c r="BR586" s="1044"/>
      <c r="BS586" s="1044"/>
      <c r="BT586" s="1044"/>
      <c r="BU586" s="1044"/>
      <c r="BV586" s="1044"/>
      <c r="BW586" s="1044">
        <v>50.5</v>
      </c>
      <c r="BX586" s="1044">
        <v>1567</v>
      </c>
      <c r="BY586" s="1054">
        <f t="shared" si="910"/>
        <v>32</v>
      </c>
      <c r="BZ586" s="1054">
        <f t="shared" si="911"/>
        <v>23.3125</v>
      </c>
      <c r="CA586" s="1044">
        <v>820</v>
      </c>
      <c r="CB586" s="1047">
        <f t="shared" si="894"/>
        <v>49737.109375</v>
      </c>
      <c r="CC586" s="208">
        <f t="shared" si="912"/>
        <v>551.953125</v>
      </c>
      <c r="CD586" s="208">
        <f t="shared" si="913"/>
        <v>22.998046875</v>
      </c>
      <c r="CE586" s="230">
        <f t="shared" si="914"/>
        <v>805.74828927918668</v>
      </c>
      <c r="CF586" s="1044"/>
      <c r="CG586" s="208">
        <f>CC586/(AVERAGE(BY586,BY587)*AVERAGE((D$556,D$550,D$578,D$549,D$583,D$537,D$542,D$568,D$570,D$563))*0.01)</f>
        <v>614.56817328277873</v>
      </c>
      <c r="CH586" s="855">
        <f t="shared" si="915"/>
        <v>0.73988354557640745</v>
      </c>
      <c r="CI586" s="1044"/>
      <c r="CJ586" s="1044"/>
      <c r="CK586" s="1044"/>
      <c r="CL586" s="1044"/>
      <c r="CM586" s="1044"/>
      <c r="CN586" s="1044"/>
    </row>
    <row r="587" spans="1:92" ht="15">
      <c r="A587" s="1034">
        <f t="shared" si="823"/>
        <v>41742</v>
      </c>
      <c r="B587" s="1035"/>
      <c r="C587" s="854">
        <f t="shared" si="853"/>
        <v>24</v>
      </c>
      <c r="D587" s="1044"/>
      <c r="E587" s="1044"/>
      <c r="F587" s="1044"/>
      <c r="G587" s="1044"/>
      <c r="H587" s="1044"/>
      <c r="I587" s="1044"/>
      <c r="J587" s="1044"/>
      <c r="K587" s="1044"/>
      <c r="L587" s="1044"/>
      <c r="M587" s="1044">
        <v>60</v>
      </c>
      <c r="N587" s="1044">
        <v>85</v>
      </c>
      <c r="O587" s="1044"/>
      <c r="P587" s="1044">
        <v>1050</v>
      </c>
      <c r="Q587" s="210">
        <f t="shared" ref="Q587" si="918">P587/((N587-M587)*N$4)</f>
        <v>8.3598726114649686</v>
      </c>
      <c r="R587" s="225">
        <f t="shared" ref="R587" si="919">10*Q587/(AVERAGE(D$261,D$262))</f>
        <v>27.773663161013186</v>
      </c>
      <c r="S587" s="1044"/>
      <c r="T587" s="1044"/>
      <c r="U587" s="1044"/>
      <c r="V587" s="1044"/>
      <c r="W587" s="1044"/>
      <c r="X587" s="1044"/>
      <c r="Y587" s="1044"/>
      <c r="Z587" s="1044"/>
      <c r="AA587" s="1044"/>
      <c r="AB587" s="1044"/>
      <c r="AC587" s="1044"/>
      <c r="AD587" s="1044"/>
      <c r="AE587" s="1044"/>
      <c r="AF587" s="1044"/>
      <c r="AG587" s="1044"/>
      <c r="AH587" s="1044"/>
      <c r="AI587" s="1044"/>
      <c r="AJ587" s="1044"/>
      <c r="AK587" s="1044"/>
      <c r="AL587" s="1044">
        <v>35.5</v>
      </c>
      <c r="AM587" s="1099">
        <v>2601</v>
      </c>
      <c r="AN587" s="208">
        <f t="shared" si="904"/>
        <v>28.080000000000002</v>
      </c>
      <c r="AO587" s="208">
        <f t="shared" si="905"/>
        <v>50.320512820512818</v>
      </c>
      <c r="AP587" s="1099">
        <v>1588</v>
      </c>
      <c r="AQ587" s="1099">
        <f t="shared" si="889"/>
        <v>95167.021875000006</v>
      </c>
      <c r="AR587" s="76">
        <f t="shared" si="906"/>
        <v>724.16250000000582</v>
      </c>
      <c r="AS587" s="230">
        <f t="shared" si="907"/>
        <v>30.173437500000244</v>
      </c>
      <c r="AT587" s="208">
        <f t="shared" si="908"/>
        <v>846.55996439183309</v>
      </c>
      <c r="AU587" s="1044"/>
      <c r="AV587" s="230">
        <f t="shared" si="909"/>
        <v>645.69645112873854</v>
      </c>
      <c r="AW587" s="855">
        <f t="shared" si="881"/>
        <v>0.51250000000000417</v>
      </c>
      <c r="AX587" s="1044"/>
      <c r="AY587" s="1044"/>
      <c r="AZ587" s="1044"/>
      <c r="BA587" s="1044"/>
      <c r="BB587" s="1044"/>
      <c r="BC587" s="1044"/>
      <c r="BD587" s="1044"/>
      <c r="BE587" s="1044"/>
      <c r="BF587" s="1044"/>
      <c r="BG587" s="1044"/>
      <c r="BH587" s="1044"/>
      <c r="BI587" s="1044"/>
      <c r="BJ587" s="1044"/>
      <c r="BK587" s="1044"/>
      <c r="BL587" s="1044"/>
      <c r="BM587" s="1044"/>
      <c r="BN587" s="1044"/>
      <c r="BO587" s="1044"/>
      <c r="BP587" s="1044"/>
      <c r="BQ587" s="1044"/>
      <c r="BR587" s="1044"/>
      <c r="BS587" s="1044"/>
      <c r="BT587" s="1044"/>
      <c r="BU587" s="1044"/>
      <c r="BV587" s="1044"/>
      <c r="BW587" s="1044">
        <v>50.4</v>
      </c>
      <c r="BX587" s="1044">
        <v>1583</v>
      </c>
      <c r="BY587" s="1054">
        <f t="shared" si="910"/>
        <v>32</v>
      </c>
      <c r="BZ587" s="1054">
        <f t="shared" si="911"/>
        <v>23.3125</v>
      </c>
      <c r="CA587" s="1044">
        <v>826</v>
      </c>
      <c r="CB587" s="1099">
        <f t="shared" si="894"/>
        <v>50105.078125</v>
      </c>
      <c r="CC587" s="208">
        <f t="shared" si="912"/>
        <v>367.96875</v>
      </c>
      <c r="CD587" s="208">
        <f t="shared" si="913"/>
        <v>15.33203125</v>
      </c>
      <c r="CE587" s="230">
        <f t="shared" si="914"/>
        <v>537.16552618612445</v>
      </c>
      <c r="CF587" s="1044"/>
      <c r="CG587" s="208">
        <f>CC587/(AVERAGE(BY587,BY588)*AVERAGE((D$556,D$550,D$578,D$549,D$583,D$537,D$542,D$568,D$570,D$563))*0.01)</f>
        <v>409.71211552185247</v>
      </c>
      <c r="CH587" s="855">
        <f t="shared" si="915"/>
        <v>0.49325569705093836</v>
      </c>
      <c r="CI587" s="1044"/>
      <c r="CJ587" s="1044"/>
      <c r="CK587" s="1044"/>
      <c r="CL587" s="1044"/>
      <c r="CM587" s="1044"/>
      <c r="CN587" s="1044"/>
    </row>
    <row r="588" spans="1:92">
      <c r="A588" s="1034">
        <f t="shared" si="823"/>
        <v>41743</v>
      </c>
      <c r="B588" s="1035"/>
      <c r="C588" s="854">
        <f t="shared" si="853"/>
        <v>24</v>
      </c>
      <c r="D588" s="1044"/>
      <c r="E588" s="1044"/>
      <c r="F588" s="1044"/>
      <c r="G588" s="1044"/>
      <c r="H588" s="1044"/>
      <c r="I588" s="1044"/>
      <c r="J588" s="1044"/>
      <c r="K588" s="1044"/>
      <c r="L588" s="1044"/>
      <c r="M588" s="1044"/>
      <c r="N588" s="1044"/>
      <c r="O588" s="1044"/>
      <c r="P588" s="1044"/>
      <c r="Q588" s="1044"/>
      <c r="R588" s="1044"/>
      <c r="S588" s="1044"/>
      <c r="T588" s="1044"/>
      <c r="U588" s="1044"/>
      <c r="V588" s="1044"/>
      <c r="W588" s="1044"/>
      <c r="X588" s="1044"/>
      <c r="Y588" s="1044"/>
      <c r="Z588" s="1044"/>
      <c r="AA588" s="1044"/>
      <c r="AB588" s="1044"/>
      <c r="AC588" s="1044"/>
      <c r="AD588" s="1044"/>
      <c r="AE588" s="1044"/>
      <c r="AF588" s="1044"/>
      <c r="AG588" s="1044"/>
      <c r="AH588" s="1044"/>
      <c r="AI588" s="1044"/>
      <c r="AJ588" s="1044"/>
      <c r="AK588" s="1044"/>
      <c r="AL588" s="1044">
        <v>35.799999999999997</v>
      </c>
      <c r="AM588" s="1099">
        <v>2625</v>
      </c>
      <c r="AN588" s="208">
        <f t="shared" si="904"/>
        <v>51.84</v>
      </c>
      <c r="AO588" s="208">
        <f t="shared" si="905"/>
        <v>27.256944444444443</v>
      </c>
      <c r="AP588" s="1099">
        <v>1601</v>
      </c>
      <c r="AQ588" s="1099">
        <f t="shared" si="889"/>
        <v>95951.53125</v>
      </c>
      <c r="AR588" s="76">
        <f t="shared" si="906"/>
        <v>784.50937499999418</v>
      </c>
      <c r="AS588" s="230">
        <f t="shared" si="907"/>
        <v>32.68789062499976</v>
      </c>
      <c r="AT588" s="208">
        <f t="shared" si="908"/>
        <v>827.63281071639301</v>
      </c>
      <c r="AU588" s="1044"/>
      <c r="AV588" s="230">
        <f t="shared" si="909"/>
        <v>631.26014835959018</v>
      </c>
      <c r="AW588" s="855">
        <f t="shared" si="881"/>
        <v>0.5552083333333292</v>
      </c>
      <c r="AX588" s="1044"/>
      <c r="AY588" s="1044"/>
      <c r="AZ588" s="1044"/>
      <c r="BA588" s="1044"/>
      <c r="BB588" s="1044"/>
      <c r="BC588" s="1044"/>
      <c r="BD588" s="1044"/>
      <c r="BE588" s="1044"/>
      <c r="BF588" s="1044"/>
      <c r="BG588" s="1044"/>
      <c r="BH588" s="1044"/>
      <c r="BI588" s="1044"/>
      <c r="BJ588" s="1044"/>
      <c r="BK588" s="1044"/>
      <c r="BL588" s="1044"/>
      <c r="BM588" s="1044"/>
      <c r="BN588" s="1044"/>
      <c r="BO588" s="1044"/>
      <c r="BP588" s="1044"/>
      <c r="BQ588" s="1044"/>
      <c r="BR588" s="1044"/>
      <c r="BS588" s="1044"/>
      <c r="BT588" s="1044"/>
      <c r="BU588" s="1044"/>
      <c r="BV588" s="1044"/>
      <c r="BW588" s="1044">
        <v>50.7</v>
      </c>
      <c r="BX588" s="1044">
        <v>1599</v>
      </c>
      <c r="BY588" s="1054">
        <f t="shared" si="910"/>
        <v>32</v>
      </c>
      <c r="BZ588" s="1054">
        <f t="shared" si="911"/>
        <v>23.3125</v>
      </c>
      <c r="CA588" s="1044">
        <v>834</v>
      </c>
      <c r="CB588" s="1099">
        <f t="shared" si="894"/>
        <v>50595.703125</v>
      </c>
      <c r="CC588" s="208">
        <f t="shared" si="912"/>
        <v>490.625</v>
      </c>
      <c r="CD588" s="208">
        <f t="shared" si="913"/>
        <v>20.442708333333332</v>
      </c>
      <c r="CE588" s="230">
        <f t="shared" si="914"/>
        <v>716.22070158149927</v>
      </c>
      <c r="CF588" s="1044"/>
      <c r="CG588" s="208">
        <f>CC588/(AVERAGE(BY588,BY589)*AVERAGE((D$556,D$550,D$578,D$549,D$583,D$537,D$542,D$568,D$570,D$563))*0.01)</f>
        <v>546.28282069580325</v>
      </c>
      <c r="CH588" s="855">
        <f t="shared" si="915"/>
        <v>0.6576742627345844</v>
      </c>
      <c r="CI588" s="1044"/>
      <c r="CJ588" s="1044"/>
      <c r="CK588" s="1044"/>
      <c r="CL588" s="1044"/>
      <c r="CM588" s="1044"/>
      <c r="CN588" s="1044"/>
    </row>
    <row r="589" spans="1:92" ht="15">
      <c r="A589" s="1034">
        <f t="shared" si="823"/>
        <v>41744</v>
      </c>
      <c r="B589" s="1035"/>
      <c r="C589" s="854">
        <f t="shared" si="853"/>
        <v>24</v>
      </c>
      <c r="D589" s="1044"/>
      <c r="E589" s="1044"/>
      <c r="F589" s="1044"/>
      <c r="G589" s="1044"/>
      <c r="H589" s="1044"/>
      <c r="I589" s="1044"/>
      <c r="J589" s="1044"/>
      <c r="K589" s="1044"/>
      <c r="L589" s="1044"/>
      <c r="M589" s="1044">
        <v>65</v>
      </c>
      <c r="N589" s="1044">
        <v>85</v>
      </c>
      <c r="O589" s="1044"/>
      <c r="P589" s="1044">
        <v>700</v>
      </c>
      <c r="Q589" s="210">
        <f t="shared" ref="Q589" si="920">P589/((N589-M589)*N$4)</f>
        <v>6.9665605095541396</v>
      </c>
      <c r="R589" s="225">
        <f t="shared" ref="R589" si="921">10*Q589/(AVERAGE(D$261,D$262))</f>
        <v>23.144719300844319</v>
      </c>
      <c r="S589" s="1044"/>
      <c r="T589" s="1044"/>
      <c r="U589" s="1044"/>
      <c r="V589" s="1044"/>
      <c r="W589" s="1044"/>
      <c r="X589" s="1044"/>
      <c r="Y589" s="1044"/>
      <c r="Z589" s="1044"/>
      <c r="AA589" s="1044"/>
      <c r="AB589" s="1044"/>
      <c r="AC589" s="1044"/>
      <c r="AD589" s="1044"/>
      <c r="AE589" s="1044"/>
      <c r="AF589" s="1044"/>
      <c r="AG589" s="1044"/>
      <c r="AH589" s="1044"/>
      <c r="AI589" s="1044"/>
      <c r="AJ589" s="1044"/>
      <c r="AK589" s="1044"/>
      <c r="AL589" s="1044">
        <v>35.6</v>
      </c>
      <c r="AM589" s="1099">
        <v>2642</v>
      </c>
      <c r="AN589" s="208">
        <f t="shared" si="904"/>
        <v>36.72</v>
      </c>
      <c r="AO589" s="208">
        <f t="shared" si="905"/>
        <v>38.480392156862749</v>
      </c>
      <c r="AP589" s="1099">
        <v>1616</v>
      </c>
      <c r="AQ589" s="1099">
        <f t="shared" si="889"/>
        <v>96856.734375</v>
      </c>
      <c r="AR589" s="76">
        <f t="shared" si="906"/>
        <v>905.203125</v>
      </c>
      <c r="AS589" s="230">
        <f t="shared" si="907"/>
        <v>37.716796875</v>
      </c>
      <c r="AT589" s="208">
        <f t="shared" si="908"/>
        <v>1779.6999251419074</v>
      </c>
      <c r="AU589" s="1044"/>
      <c r="AV589" s="230">
        <f t="shared" si="909"/>
        <v>1357.4300393047236</v>
      </c>
      <c r="AW589" s="855">
        <f t="shared" si="881"/>
        <v>0.640625</v>
      </c>
      <c r="AX589" s="1044"/>
      <c r="AY589" s="1044"/>
      <c r="AZ589" s="1044"/>
      <c r="BA589" s="1044"/>
      <c r="BB589" s="1044"/>
      <c r="BC589" s="1044"/>
      <c r="BD589" s="1044"/>
      <c r="BE589" s="1044"/>
      <c r="BF589" s="1044"/>
      <c r="BG589" s="1044"/>
      <c r="BH589" s="1044"/>
      <c r="BI589" s="1044"/>
      <c r="BJ589" s="1044"/>
      <c r="BK589" s="1044"/>
      <c r="BL589" s="1044"/>
      <c r="BM589" s="1044"/>
      <c r="BN589" s="1044"/>
      <c r="BO589" s="1044"/>
      <c r="BP589" s="1044"/>
      <c r="BQ589" s="1044"/>
      <c r="BR589" s="1044"/>
      <c r="BS589" s="1044"/>
      <c r="BT589" s="1044"/>
      <c r="BU589" s="1044"/>
      <c r="BV589" s="1044"/>
      <c r="BW589" s="1044">
        <v>50.6</v>
      </c>
      <c r="BX589" s="1044">
        <v>1615</v>
      </c>
      <c r="BY589" s="1054">
        <f t="shared" si="910"/>
        <v>32</v>
      </c>
      <c r="BZ589" s="1054">
        <f t="shared" si="911"/>
        <v>23.3125</v>
      </c>
      <c r="CA589" s="1044">
        <v>843</v>
      </c>
      <c r="CB589" s="1099">
        <f t="shared" si="894"/>
        <v>51147.65625</v>
      </c>
      <c r="CC589" s="208">
        <f t="shared" si="912"/>
        <v>551.953125</v>
      </c>
      <c r="CD589" s="208">
        <f t="shared" si="913"/>
        <v>22.998046875</v>
      </c>
      <c r="CE589" s="230">
        <f t="shared" si="914"/>
        <v>805.74828927918668</v>
      </c>
      <c r="CF589" s="1044"/>
      <c r="CG589" s="208">
        <f>CC589/(AVERAGE(BY589,BY590)*AVERAGE((D$556,D$550,D$578,D$549,D$583,D$537,D$542,D$568,D$570,D$563))*0.01)</f>
        <v>614.56817328277873</v>
      </c>
      <c r="CH589" s="855">
        <f t="shared" si="915"/>
        <v>0.73988354557640745</v>
      </c>
      <c r="CI589" s="1044"/>
      <c r="CJ589" s="1044"/>
      <c r="CK589" s="1044"/>
      <c r="CL589" s="1044"/>
      <c r="CM589" s="1044"/>
      <c r="CN589" s="1044"/>
    </row>
    <row r="590" spans="1:92">
      <c r="A590" s="1034">
        <f t="shared" si="823"/>
        <v>41745</v>
      </c>
      <c r="B590" s="1035"/>
      <c r="C590" s="854">
        <f t="shared" si="853"/>
        <v>24</v>
      </c>
      <c r="D590" s="1044"/>
      <c r="E590" s="1044"/>
      <c r="F590" s="1044"/>
      <c r="G590" s="1044"/>
      <c r="H590" s="1044"/>
      <c r="I590" s="1044"/>
      <c r="J590" s="1044"/>
      <c r="K590" s="1044"/>
      <c r="L590" s="1044"/>
      <c r="M590" s="1044"/>
      <c r="N590" s="1044"/>
      <c r="O590" s="1044"/>
      <c r="P590" s="1044"/>
      <c r="Q590" s="1044"/>
      <c r="R590" s="1044"/>
      <c r="S590" s="1044"/>
      <c r="T590" s="1044"/>
      <c r="U590" s="1044"/>
      <c r="V590" s="1044"/>
      <c r="W590" s="1044"/>
      <c r="X590" s="1044"/>
      <c r="Y590" s="1044"/>
      <c r="Z590" s="1044"/>
      <c r="AA590" s="1044"/>
      <c r="AB590" s="1044"/>
      <c r="AC590" s="1044"/>
      <c r="AD590" s="1044"/>
      <c r="AE590" s="1044"/>
      <c r="AF590" s="1044"/>
      <c r="AG590" s="1044"/>
      <c r="AH590" s="1044"/>
      <c r="AI590" s="1044"/>
      <c r="AJ590" s="1044"/>
      <c r="AK590" s="1044"/>
      <c r="AL590" s="1044">
        <v>35.6</v>
      </c>
      <c r="AM590" s="1099">
        <v>2647</v>
      </c>
      <c r="AN590" s="208">
        <f t="shared" si="904"/>
        <v>10.8</v>
      </c>
      <c r="AO590" s="208">
        <f t="shared" si="905"/>
        <v>130.83333333333331</v>
      </c>
      <c r="AP590" s="1099">
        <v>1629</v>
      </c>
      <c r="AQ590" s="1099">
        <f t="shared" si="889"/>
        <v>97641.243750000009</v>
      </c>
      <c r="AR590" s="76">
        <f t="shared" si="906"/>
        <v>784.50937500000873</v>
      </c>
      <c r="AS590" s="230">
        <f t="shared" si="907"/>
        <v>32.687890625000364</v>
      </c>
      <c r="AT590" s="208">
        <f t="shared" si="908"/>
        <v>4241.6181549215926</v>
      </c>
      <c r="AU590" s="1044"/>
      <c r="AV590" s="230">
        <f t="shared" si="909"/>
        <v>3235.2082603429594</v>
      </c>
      <c r="AW590" s="855">
        <f t="shared" si="881"/>
        <v>0.55520833333333952</v>
      </c>
      <c r="AX590" s="1044"/>
      <c r="AY590" s="1044"/>
      <c r="AZ590" s="1044"/>
      <c r="BA590" s="1044"/>
      <c r="BB590" s="1044"/>
      <c r="BC590" s="1044"/>
      <c r="BD590" s="1044"/>
      <c r="BE590" s="1044"/>
      <c r="BF590" s="1044"/>
      <c r="BG590" s="1044"/>
      <c r="BH590" s="1044"/>
      <c r="BI590" s="1044"/>
      <c r="BJ590" s="1044"/>
      <c r="BK590" s="1044"/>
      <c r="BL590" s="1044"/>
      <c r="BM590" s="1044"/>
      <c r="BN590" s="1044"/>
      <c r="BO590" s="1044"/>
      <c r="BP590" s="1044"/>
      <c r="BQ590" s="1044"/>
      <c r="BR590" s="1044"/>
      <c r="BS590" s="1044"/>
      <c r="BT590" s="1044"/>
      <c r="BU590" s="1044"/>
      <c r="BV590" s="1044"/>
      <c r="BW590" s="1044">
        <v>50.6</v>
      </c>
      <c r="BX590" s="1044">
        <v>1631</v>
      </c>
      <c r="BY590" s="1054">
        <f t="shared" si="910"/>
        <v>32</v>
      </c>
      <c r="BZ590" s="1054">
        <f t="shared" si="911"/>
        <v>23.3125</v>
      </c>
      <c r="CA590" s="1044">
        <v>853</v>
      </c>
      <c r="CB590" s="1099">
        <f t="shared" si="894"/>
        <v>51760.9375</v>
      </c>
      <c r="CC590" s="208">
        <f t="shared" si="912"/>
        <v>613.28125</v>
      </c>
      <c r="CD590" s="208">
        <f t="shared" si="913"/>
        <v>25.553385416666668</v>
      </c>
      <c r="CE590" s="230">
        <f t="shared" si="914"/>
        <v>1023.1724308307134</v>
      </c>
      <c r="CF590" s="1044"/>
      <c r="CG590" s="208">
        <f>CC590/(AVERAGE(BY590,BY591)*AVERAGE((D$556,D$550,D$578,D$549,D$583,D$537,D$542,D$568,D$570,D$563))*0.01)</f>
        <v>780.40402956543335</v>
      </c>
      <c r="CH590" s="855">
        <f t="shared" si="915"/>
        <v>0.82209282841823061</v>
      </c>
      <c r="CI590" s="1044"/>
      <c r="CJ590" s="1044"/>
      <c r="CK590" s="1044"/>
      <c r="CL590" s="1044"/>
      <c r="CM590" s="1044"/>
      <c r="CN590" s="1044"/>
    </row>
    <row r="591" spans="1:92" s="337" customFormat="1">
      <c r="A591" s="1036">
        <f t="shared" si="823"/>
        <v>41746</v>
      </c>
      <c r="B591" s="1035">
        <f>B544</f>
        <v>0.33333333333333398</v>
      </c>
      <c r="C591" s="847">
        <f t="shared" si="853"/>
        <v>32.000000000000014</v>
      </c>
      <c r="D591" s="1023">
        <v>2.8</v>
      </c>
      <c r="E591" s="1023">
        <v>78</v>
      </c>
      <c r="F591" s="1023">
        <v>35100</v>
      </c>
      <c r="G591" s="1023"/>
      <c r="H591" s="1023">
        <v>47</v>
      </c>
      <c r="I591" s="1023">
        <v>5471</v>
      </c>
      <c r="J591" s="1023">
        <v>3035</v>
      </c>
      <c r="K591" s="1023">
        <v>32</v>
      </c>
      <c r="L591" s="1023">
        <v>259</v>
      </c>
      <c r="M591" s="1023"/>
      <c r="N591" s="1023"/>
      <c r="O591" s="1023"/>
      <c r="P591" s="1023"/>
      <c r="Q591" s="1023"/>
      <c r="R591" s="1023"/>
      <c r="S591" s="1023"/>
      <c r="T591" s="1023"/>
      <c r="U591" s="1023"/>
      <c r="V591" s="1023">
        <v>1.7</v>
      </c>
      <c r="W591" s="1023">
        <v>64.599999999999994</v>
      </c>
      <c r="X591" s="1023">
        <v>18000</v>
      </c>
      <c r="Y591" s="1023">
        <v>28.4</v>
      </c>
      <c r="Z591" s="1023">
        <v>1285</v>
      </c>
      <c r="AA591" s="1023">
        <v>196</v>
      </c>
      <c r="AB591" s="1023">
        <v>38.700000000000003</v>
      </c>
      <c r="AC591" s="1023">
        <v>171</v>
      </c>
      <c r="AD591" s="1021">
        <f>D583*(100-E583)/(100-W591)</f>
        <v>1.6001694915254239</v>
      </c>
      <c r="AE591" s="1055">
        <f>D583-V591</f>
        <v>1.0000000000000002</v>
      </c>
      <c r="AF591" s="847">
        <f>100*(AVERAGE(D$556,D$550,D$578,D$549,D$583,D$591,D$542,D$568,D$570,D$563)-V591)/AVERAGE(D$556,D$550,D$578,D$549,D$583,D$591,D$542,D$568,D$570,D$563)</f>
        <v>38.936989169641855</v>
      </c>
      <c r="AG591" s="847">
        <f>100*(1-((100-AVERAGE(E$556,E$550,E$578,E$549,E$583,E$591,E$542,E$568,E$570,E$563))/(100-W591)))</f>
        <v>34.362887379836572</v>
      </c>
      <c r="AH591" s="1055">
        <f>E583-W591</f>
        <v>14.420000000000002</v>
      </c>
      <c r="AI591" s="847">
        <f>100*(1-((V591*W591)/(AVERAGE(D$556,D$550,D$578,D$549,D$583,D$591,D$542,D$568,D$570,D$563)*AVERAGE(E$556,E$550,E$578,E$549,E$583,E$591,E$542,E$568,E$570,E$563))))</f>
        <v>48.613324576750806</v>
      </c>
      <c r="AJ591" s="847">
        <f>100*100*((AVERAGE(E$556,E$550,E$578,E$549,E$583,E$591,E$542,E$568,E$570,E$563)-W591)/((100-W591)*AVERAGE(E$556,E$550,E$578,E$549,E$583,E$591,E$542,E$568,E$570,E$563)))</f>
        <v>44.764056733102812</v>
      </c>
      <c r="AK591" s="1023"/>
      <c r="AL591" s="1023">
        <v>35.6</v>
      </c>
      <c r="AM591" s="1100">
        <v>2650</v>
      </c>
      <c r="AN591" s="208">
        <f t="shared" si="904"/>
        <v>6.48</v>
      </c>
      <c r="AO591" s="208">
        <f t="shared" si="905"/>
        <v>218.05555555555554</v>
      </c>
      <c r="AP591" s="1100">
        <v>1638</v>
      </c>
      <c r="AQ591" s="1100">
        <f t="shared" si="889"/>
        <v>98184.365625000006</v>
      </c>
      <c r="AR591" s="76">
        <f t="shared" si="906"/>
        <v>407.34140624999765</v>
      </c>
      <c r="AS591" s="230">
        <f t="shared" si="907"/>
        <v>16.972558593749902</v>
      </c>
      <c r="AT591" s="208">
        <f>AR591/(AVERAGE(AN591,AN592)*(AVERAGE(D$556,D$550,D$578,D$549,D$583,D$591,D$542,D$568,D$570,D$563))*AVERAGE(E$556,E$550,E$578,E$549,E$583,E$591,E$542,E$568,E$570,E$563)*0.0001)</f>
        <v>811.41797299247651</v>
      </c>
      <c r="AU591" s="597">
        <f>(AQ591-AQ585)/(AVERAGE(AN585:AN591)*((AVERAGE(D$556,D$550,D$578,D$549,D$583,D$591,D$542,D$568,D$570,D$563)*AVERAGE(E$556,E$550,E$578,E$549,E$583,E$591,E$542,E$568,E$570,E$563))-(V591*W591))*0.0001*(SUM(C585:C591)/24))</f>
        <v>2080.5517714320708</v>
      </c>
      <c r="AV591" s="230">
        <f>AR591/(AVERAGE(AN592,AN591)*AVERAGE(D$556,D$550,D$578,D$549,D$583,D$591,D$542,D$568,D$570,D$563)*0.01)</f>
        <v>622.88064261380146</v>
      </c>
      <c r="AW591" s="855">
        <f t="shared" si="881"/>
        <v>0.28828124999999832</v>
      </c>
      <c r="AX591" s="1023">
        <v>69.099999999999994</v>
      </c>
      <c r="AY591" s="1023">
        <v>30.7</v>
      </c>
      <c r="AZ591" s="1023">
        <v>0</v>
      </c>
      <c r="BA591" s="1023">
        <v>8</v>
      </c>
      <c r="BB591" s="1023">
        <v>10</v>
      </c>
      <c r="BC591" s="1023"/>
      <c r="BD591" s="1023"/>
      <c r="BE591" s="1023"/>
      <c r="BF591" s="1023"/>
      <c r="BG591" s="1023">
        <v>1.8</v>
      </c>
      <c r="BH591" s="1023">
        <v>63.1</v>
      </c>
      <c r="BI591" s="1023">
        <v>18700</v>
      </c>
      <c r="BJ591" s="1023">
        <v>32.6</v>
      </c>
      <c r="BK591" s="1023">
        <v>2450</v>
      </c>
      <c r="BL591" s="1023">
        <v>733</v>
      </c>
      <c r="BM591" s="1023">
        <v>71</v>
      </c>
      <c r="BN591" s="1023">
        <v>163</v>
      </c>
      <c r="BO591" s="847">
        <f>D583*(100-E583)/(100-BH591)</f>
        <v>1.5351219512195127</v>
      </c>
      <c r="BP591" s="1055">
        <f>D583-BG591</f>
        <v>0.90000000000000013</v>
      </c>
      <c r="BQ591" s="1056">
        <f>100*(AVERAGE(D$556,D$550,D$578,D$549,D$583,D$591,D$542,D$568,D$570,D$563)-BG591)/AVERAGE(D$556,D$550,D$578,D$549,D$583,D$591,D$542,D$568,D$570,D$563)</f>
        <v>35.345047356091378</v>
      </c>
      <c r="BR591" s="1056">
        <f>100*(1-((100-AVERAGE(E$556,E$550,E$578,E$549,E$583,E$591,E$542,E$568,E$570,E$563))/(100-BH591)))</f>
        <v>37.031062689599302</v>
      </c>
      <c r="BS591" s="1055">
        <f>E583-BH591</f>
        <v>15.919999999999995</v>
      </c>
      <c r="BT591" s="1055">
        <f>100*(1-((BG591*BH591)/(AVERAGE(D$556,D$550,D$578,D$549,D$583,D$591,D$542,D$568,D$570,D$563)*AVERAGE(E$556,E$550,E$578,E$549,E$583,E$591,E$542,E$568,E$570,E$563))))</f>
        <v>46.853955613070077</v>
      </c>
      <c r="BU591" s="847">
        <f>100*100*((AVERAGE(E$556,E$550,E$578,E$549,E$583,E$591,E$542,E$568,E$570,E$563)-BH591)/((100-BH591)*AVERAGE(E$556,E$550,E$578,E$549,E$583,E$591,E$542,E$568,E$570,E$563)))</f>
        <v>48.239851698172203</v>
      </c>
      <c r="BV591" s="1023"/>
      <c r="BW591" s="1023">
        <v>50.4</v>
      </c>
      <c r="BX591" s="1023">
        <v>1647</v>
      </c>
      <c r="BY591" s="1054">
        <f t="shared" si="910"/>
        <v>23.999999999999989</v>
      </c>
      <c r="BZ591" s="1054">
        <f t="shared" si="911"/>
        <v>31.083333333333346</v>
      </c>
      <c r="CA591" s="1023">
        <v>862</v>
      </c>
      <c r="CB591" s="1100">
        <f t="shared" si="894"/>
        <v>52312.890625</v>
      </c>
      <c r="CC591" s="208">
        <f t="shared" si="912"/>
        <v>413.96484374999983</v>
      </c>
      <c r="CD591" s="208">
        <f t="shared" si="913"/>
        <v>17.248535156249993</v>
      </c>
      <c r="CE591" s="230">
        <f>CC591/(AVERAGE(BY592,BY591)*(AVERAGE(D$556,D$550,D$578,D$549,D$583,D$591,D$542,D$568,D$570,D$563))*AVERAGE(E$556,E$550,E$578,E$549,E$583,E$591,E$542,E$568,E$570,E$563)*0.0001)</f>
        <v>691.79036678257</v>
      </c>
      <c r="CF591" s="334">
        <f>(CB591-CB585)/(AVERAGE(BY585:BY591)*((AVERAGE(D$556,D$550,D$578,D$549,D$583,D$591,D$542,D$568,D$570,D$563)*AVERAGE(E$556,E$550,E$578,E$549,E$583,E$591,E$542,E$568,E$570,E$563))-(BG591*BH591))*0.0001*(SUM(C585:C591)/24))</f>
        <v>1380.3701069953734</v>
      </c>
      <c r="CG591" s="208">
        <f>CC591/(AVERAGE(BY591,BY592)*AVERAGE((D$556,D$550,D$578,D$549,D$583,D$591,D$542,D$568,D$570,D$563))*0.01)</f>
        <v>531.04915414482696</v>
      </c>
      <c r="CH591" s="855">
        <f t="shared" si="915"/>
        <v>0.55491265918230537</v>
      </c>
      <c r="CI591" s="1023">
        <v>70.8</v>
      </c>
      <c r="CJ591" s="1023">
        <v>29.1</v>
      </c>
      <c r="CK591" s="1023">
        <v>0</v>
      </c>
      <c r="CL591" s="1023">
        <v>31</v>
      </c>
      <c r="CM591" s="1023">
        <v>85</v>
      </c>
      <c r="CN591" s="1023"/>
    </row>
    <row r="592" spans="1:92" ht="15">
      <c r="A592" s="1034">
        <f t="shared" si="823"/>
        <v>41747</v>
      </c>
      <c r="B592" s="1035">
        <f t="shared" ref="B592:B593" si="922">B591</f>
        <v>0.33333333333333398</v>
      </c>
      <c r="C592" s="854">
        <f t="shared" si="853"/>
        <v>24</v>
      </c>
      <c r="D592" s="1044"/>
      <c r="E592" s="1044"/>
      <c r="F592" s="1044"/>
      <c r="G592" s="1044"/>
      <c r="H592" s="1044"/>
      <c r="I592" s="1044"/>
      <c r="J592" s="1044"/>
      <c r="K592" s="1044"/>
      <c r="L592" s="1044"/>
      <c r="M592" s="1044">
        <v>55</v>
      </c>
      <c r="N592" s="1044">
        <v>85</v>
      </c>
      <c r="O592" s="1044"/>
      <c r="P592" s="1044">
        <v>1050</v>
      </c>
      <c r="Q592" s="210">
        <f t="shared" ref="Q592" si="923">P592/((N592-M592)*N$4)</f>
        <v>6.9665605095541405</v>
      </c>
      <c r="R592" s="225">
        <f t="shared" ref="R592" si="924">10*Q592/(AVERAGE(D$261,D$262))</f>
        <v>23.144719300844322</v>
      </c>
      <c r="S592" s="1044"/>
      <c r="T592" s="1044"/>
      <c r="U592" s="1044"/>
      <c r="V592" s="1044"/>
      <c r="W592" s="1044"/>
      <c r="X592" s="1044"/>
      <c r="Y592" s="1044"/>
      <c r="Z592" s="1044"/>
      <c r="AA592" s="1044"/>
      <c r="AB592" s="1044"/>
      <c r="AC592" s="1044"/>
      <c r="AD592" s="1044"/>
      <c r="AE592" s="1044"/>
      <c r="AF592" s="1044"/>
      <c r="AG592" s="1044"/>
      <c r="AH592" s="1044"/>
      <c r="AI592" s="1044"/>
      <c r="AJ592" s="1044"/>
      <c r="AK592" s="1044"/>
      <c r="AL592" s="1044">
        <v>36</v>
      </c>
      <c r="AM592" s="1099">
        <v>2675</v>
      </c>
      <c r="AN592" s="208">
        <f t="shared" ref="AN592:AN597" si="925">(AM592-AM591)*AQ$1/((C591)/24)</f>
        <v>40.499999999999979</v>
      </c>
      <c r="AO592" s="208">
        <f t="shared" ref="AO592:AO597" si="926">AQ$3/AN592</f>
        <v>34.888888888888907</v>
      </c>
      <c r="AP592" s="1099">
        <v>1650</v>
      </c>
      <c r="AQ592" s="1099">
        <f t="shared" si="889"/>
        <v>98908.528125000012</v>
      </c>
      <c r="AR592" s="76">
        <f t="shared" ref="AR592:AR597" si="927">(AQ592-AQ591)/(C592/24)</f>
        <v>724.16250000000582</v>
      </c>
      <c r="AS592" s="230">
        <f t="shared" ref="AS592:AS597" si="928">(AQ592-AQ591)/C592</f>
        <v>30.173437500000244</v>
      </c>
      <c r="AT592" s="208">
        <f t="shared" ref="AT592:AT597" si="929">AR592/(AVERAGE(AN592,AN593)*(AVERAGE(D$556,D$550,D$578,D$549,D$583,D$591,D$542,D$568,D$570,D$563))*AVERAGE(E$556,E$550,E$578,E$549,E$583,E$591,E$542,E$568,E$570,E$563)*0.0001)</f>
        <v>1172.8907771604804</v>
      </c>
      <c r="AU592" s="1044"/>
      <c r="AV592" s="230">
        <f t="shared" ref="AV592:AV597" si="930">AR592/(AVERAGE(AN593,AN592)*AVERAGE(D$556,D$550,D$578,D$549,D$583,D$591,D$542,D$568,D$570,D$563)*0.01)</f>
        <v>900.36329648849789</v>
      </c>
      <c r="AW592" s="855">
        <f t="shared" si="881"/>
        <v>0.51250000000000417</v>
      </c>
      <c r="AX592" s="1044"/>
      <c r="AY592" s="1044"/>
      <c r="AZ592" s="1044"/>
      <c r="BA592" s="1044"/>
      <c r="BB592" s="1044"/>
      <c r="BC592" s="1044"/>
      <c r="BD592" s="1044"/>
      <c r="BE592" s="1044"/>
      <c r="BF592" s="1044"/>
      <c r="BG592" s="1044"/>
      <c r="BH592" s="1044"/>
      <c r="BI592" s="1044"/>
      <c r="BJ592" s="1044"/>
      <c r="BK592" s="1044"/>
      <c r="BL592" s="1044"/>
      <c r="BM592" s="1044"/>
      <c r="BN592" s="1044"/>
      <c r="BO592" s="1044"/>
      <c r="BP592" s="1044"/>
      <c r="BQ592" s="1044"/>
      <c r="BR592" s="1044"/>
      <c r="BS592" s="1044"/>
      <c r="BT592" s="1044"/>
      <c r="BU592" s="1044"/>
      <c r="BV592" s="1044"/>
      <c r="BW592" s="1044">
        <v>50.6</v>
      </c>
      <c r="BX592" s="1044">
        <v>1663</v>
      </c>
      <c r="BY592" s="1054">
        <f t="shared" ref="BY592:BY596" si="931">(BX592-BX591)*CB$1/((C592)/24)</f>
        <v>32</v>
      </c>
      <c r="BZ592" s="1054">
        <f t="shared" ref="BZ592:BZ596" si="932">CB$3/BY592</f>
        <v>23.3125</v>
      </c>
      <c r="CA592" s="1044">
        <v>871</v>
      </c>
      <c r="CB592" s="1099">
        <f t="shared" si="894"/>
        <v>52864.84375</v>
      </c>
      <c r="CC592" s="208">
        <f t="shared" ref="CC592:CC596" si="933">(CB592-CB591)/((C592/24))</f>
        <v>551.953125</v>
      </c>
      <c r="CD592" s="208">
        <f t="shared" ref="CD592:CD596" si="934">(CB592-CB591)/(C592)</f>
        <v>22.998046875</v>
      </c>
      <c r="CE592" s="230">
        <f t="shared" ref="CE592:CE597" si="935">CC592/(AVERAGE(BY593,BY592)*(AVERAGE(D$556,D$550,D$578,D$549,D$583,D$591,D$542,D$568,D$570,D$563))*AVERAGE(E$556,E$550,E$578,E$549,E$583,E$591,E$542,E$568,E$570,E$563)*0.0001)</f>
        <v>807.08876124633173</v>
      </c>
      <c r="CF592" s="1044"/>
      <c r="CG592" s="208">
        <f>CC592/(AVERAGE(BY592,BY593)*AVERAGE((D$556,D$550,D$578,D$549,D$583,D$591,D$542,D$568,D$570,D$563))*0.01)</f>
        <v>619.55734650229817</v>
      </c>
      <c r="CH592" s="855">
        <f t="shared" si="915"/>
        <v>0.73988354557640745</v>
      </c>
      <c r="CI592" s="1044"/>
      <c r="CJ592" s="1044"/>
      <c r="CK592" s="1044"/>
      <c r="CL592" s="1044"/>
      <c r="CM592" s="1044"/>
      <c r="CN592" s="1044"/>
    </row>
    <row r="593" spans="1:92">
      <c r="A593" s="1034">
        <f t="shared" si="823"/>
        <v>41748</v>
      </c>
      <c r="B593" s="1035">
        <f t="shared" si="922"/>
        <v>0.33333333333333398</v>
      </c>
      <c r="C593" s="854">
        <f t="shared" si="853"/>
        <v>24</v>
      </c>
      <c r="D593" s="1044"/>
      <c r="E593" s="1044"/>
      <c r="F593" s="1044"/>
      <c r="G593" s="1044"/>
      <c r="H593" s="1044"/>
      <c r="I593" s="1044"/>
      <c r="J593" s="1044"/>
      <c r="K593" s="1044"/>
      <c r="L593" s="1044"/>
      <c r="M593" s="1044"/>
      <c r="N593" s="1044"/>
      <c r="O593" s="1044"/>
      <c r="P593" s="1044"/>
      <c r="Q593" s="1044"/>
      <c r="R593" s="1044"/>
      <c r="S593" s="1044"/>
      <c r="T593" s="1044"/>
      <c r="U593" s="1044"/>
      <c r="V593" s="1044"/>
      <c r="W593" s="1044"/>
      <c r="X593" s="1044"/>
      <c r="Y593" s="1044"/>
      <c r="Z593" s="1044"/>
      <c r="AA593" s="1044"/>
      <c r="AB593" s="1044"/>
      <c r="AC593" s="1044"/>
      <c r="AD593" s="1044"/>
      <c r="AE593" s="1044"/>
      <c r="AF593" s="1044"/>
      <c r="AG593" s="1044"/>
      <c r="AH593" s="1044"/>
      <c r="AI593" s="1044"/>
      <c r="AJ593" s="1044"/>
      <c r="AK593" s="1044"/>
      <c r="AL593" s="1044">
        <v>35.700000000000003</v>
      </c>
      <c r="AM593" s="1099">
        <v>2683</v>
      </c>
      <c r="AN593" s="208">
        <f t="shared" si="925"/>
        <v>17.28</v>
      </c>
      <c r="AO593" s="208">
        <f t="shared" si="926"/>
        <v>81.770833333333329</v>
      </c>
      <c r="AP593" s="1099">
        <v>1663</v>
      </c>
      <c r="AQ593" s="1099">
        <f t="shared" si="889"/>
        <v>99693.037500000006</v>
      </c>
      <c r="AR593" s="76">
        <f t="shared" si="927"/>
        <v>784.50937499999418</v>
      </c>
      <c r="AS593" s="230">
        <f t="shared" si="928"/>
        <v>32.68789062499976</v>
      </c>
      <c r="AT593" s="208">
        <f t="shared" si="929"/>
        <v>2427.8140937949443</v>
      </c>
      <c r="AU593" s="1044"/>
      <c r="AV593" s="230">
        <f t="shared" si="930"/>
        <v>1863.6984306777988</v>
      </c>
      <c r="AW593" s="855">
        <f t="shared" si="881"/>
        <v>0.5552083333333292</v>
      </c>
      <c r="AX593" s="1044"/>
      <c r="AY593" s="1044"/>
      <c r="AZ593" s="1044"/>
      <c r="BA593" s="1044"/>
      <c r="BB593" s="1044"/>
      <c r="BC593" s="1044"/>
      <c r="BD593" s="1044"/>
      <c r="BE593" s="1044"/>
      <c r="BF593" s="1044"/>
      <c r="BG593" s="1044"/>
      <c r="BH593" s="1044"/>
      <c r="BI593" s="1044"/>
      <c r="BJ593" s="1044"/>
      <c r="BK593" s="1044"/>
      <c r="BL593" s="1044"/>
      <c r="BM593" s="1044"/>
      <c r="BN593" s="1044"/>
      <c r="BO593" s="1044"/>
      <c r="BP593" s="1044"/>
      <c r="BQ593" s="1044"/>
      <c r="BR593" s="1044"/>
      <c r="BS593" s="1044"/>
      <c r="BT593" s="1044"/>
      <c r="BU593" s="1044"/>
      <c r="BV593" s="1044"/>
      <c r="BW593" s="1044">
        <v>50.5</v>
      </c>
      <c r="BX593" s="1044">
        <v>1679</v>
      </c>
      <c r="BY593" s="1054">
        <f t="shared" si="931"/>
        <v>32</v>
      </c>
      <c r="BZ593" s="1054">
        <f t="shared" si="932"/>
        <v>23.3125</v>
      </c>
      <c r="CA593" s="1044">
        <v>881</v>
      </c>
      <c r="CB593" s="1099">
        <f t="shared" si="894"/>
        <v>53478.125</v>
      </c>
      <c r="CC593" s="208">
        <f t="shared" si="933"/>
        <v>613.28125</v>
      </c>
      <c r="CD593" s="208">
        <f t="shared" si="934"/>
        <v>25.553385416666668</v>
      </c>
      <c r="CE593" s="230">
        <f t="shared" si="935"/>
        <v>896.76529027370202</v>
      </c>
      <c r="CF593" s="1044"/>
      <c r="CG593" s="208">
        <f>CC593/(AVERAGE(BY593,BY594)*AVERAGE((D$556,D$550,D$578,D$549,D$583,D$591,D$542,D$568,D$570,D$563))*0.01)</f>
        <v>688.39705166922022</v>
      </c>
      <c r="CH593" s="855">
        <f t="shared" si="915"/>
        <v>0.82209282841823061</v>
      </c>
      <c r="CI593" s="1044"/>
      <c r="CJ593" s="1044"/>
      <c r="CK593" s="1044"/>
      <c r="CL593" s="1044"/>
      <c r="CM593" s="1044"/>
      <c r="CN593" s="1044"/>
    </row>
    <row r="594" spans="1:92">
      <c r="A594" s="1034">
        <f t="shared" si="823"/>
        <v>41749</v>
      </c>
      <c r="B594" s="1035">
        <f>B593</f>
        <v>0.33333333333333398</v>
      </c>
      <c r="C594" s="854">
        <f t="shared" si="853"/>
        <v>24</v>
      </c>
      <c r="D594" s="1044"/>
      <c r="E594" s="1044"/>
      <c r="F594" s="1044"/>
      <c r="G594" s="1044"/>
      <c r="H594" s="1044"/>
      <c r="I594" s="1044"/>
      <c r="J594" s="1044"/>
      <c r="K594" s="1044"/>
      <c r="L594" s="1044"/>
      <c r="M594" s="1044"/>
      <c r="N594" s="1044"/>
      <c r="O594" s="1044"/>
      <c r="P594" s="1044"/>
      <c r="Q594" s="1044"/>
      <c r="R594" s="1044"/>
      <c r="S594" s="1044"/>
      <c r="T594" s="1044"/>
      <c r="U594" s="1044"/>
      <c r="V594" s="1044"/>
      <c r="W594" s="1044"/>
      <c r="X594" s="1044"/>
      <c r="Y594" s="1044"/>
      <c r="Z594" s="1044"/>
      <c r="AA594" s="1044"/>
      <c r="AB594" s="1044"/>
      <c r="AC594" s="1044"/>
      <c r="AD594" s="1044"/>
      <c r="AE594" s="1044"/>
      <c r="AF594" s="1044"/>
      <c r="AG594" s="1044"/>
      <c r="AH594" s="1044"/>
      <c r="AI594" s="1044"/>
      <c r="AJ594" s="1044"/>
      <c r="AK594" s="1044"/>
      <c r="AL594" s="1044">
        <v>35.4</v>
      </c>
      <c r="AM594" s="1099">
        <v>2689</v>
      </c>
      <c r="AN594" s="208">
        <f t="shared" si="925"/>
        <v>12.96</v>
      </c>
      <c r="AO594" s="208">
        <f t="shared" si="926"/>
        <v>109.02777777777777</v>
      </c>
      <c r="AP594" s="1099">
        <v>1674</v>
      </c>
      <c r="AQ594" s="1099">
        <f t="shared" si="889"/>
        <v>100356.85312500001</v>
      </c>
      <c r="AR594" s="76">
        <f t="shared" si="927"/>
        <v>663.81562500000291</v>
      </c>
      <c r="AS594" s="230">
        <f t="shared" si="928"/>
        <v>27.65898437500012</v>
      </c>
      <c r="AT594" s="208">
        <f t="shared" si="929"/>
        <v>504.56595201676896</v>
      </c>
      <c r="AU594" s="1044"/>
      <c r="AV594" s="230">
        <f t="shared" si="930"/>
        <v>387.32733916920972</v>
      </c>
      <c r="AW594" s="855">
        <f t="shared" si="881"/>
        <v>0.46979166666666872</v>
      </c>
      <c r="AX594" s="1044"/>
      <c r="AY594" s="1044"/>
      <c r="AZ594" s="1044"/>
      <c r="BA594" s="1044"/>
      <c r="BB594" s="1044"/>
      <c r="BC594" s="1044"/>
      <c r="BD594" s="1044"/>
      <c r="BE594" s="1044"/>
      <c r="BF594" s="1044"/>
      <c r="BG594" s="1044"/>
      <c r="BH594" s="1044"/>
      <c r="BI594" s="1044"/>
      <c r="BJ594" s="1044"/>
      <c r="BK594" s="1044"/>
      <c r="BL594" s="1044"/>
      <c r="BM594" s="1044"/>
      <c r="BN594" s="1044"/>
      <c r="BO594" s="1044"/>
      <c r="BP594" s="1044"/>
      <c r="BQ594" s="1044"/>
      <c r="BR594" s="1044"/>
      <c r="BS594" s="1044"/>
      <c r="BT594" s="1044"/>
      <c r="BU594" s="1044"/>
      <c r="BV594" s="1044"/>
      <c r="BW594" s="1044">
        <v>50.4</v>
      </c>
      <c r="BX594" s="1044">
        <v>1695</v>
      </c>
      <c r="BY594" s="1054">
        <f t="shared" si="931"/>
        <v>32</v>
      </c>
      <c r="BZ594" s="1054">
        <f t="shared" si="932"/>
        <v>23.3125</v>
      </c>
      <c r="CA594" s="1044">
        <v>890</v>
      </c>
      <c r="CB594" s="1099">
        <f t="shared" si="894"/>
        <v>54030.078125</v>
      </c>
      <c r="CC594" s="208">
        <f t="shared" si="933"/>
        <v>551.953125</v>
      </c>
      <c r="CD594" s="208">
        <f t="shared" si="934"/>
        <v>22.998046875</v>
      </c>
      <c r="CE594" s="230">
        <f t="shared" si="935"/>
        <v>807.08876124633173</v>
      </c>
      <c r="CF594" s="1044"/>
      <c r="CG594" s="208">
        <f>CC594/(AVERAGE(BY594,BY595)*AVERAGE((D$556,D$550,D$578,D$549,D$583,D$591,D$542,D$568,D$570,D$563))*0.01)</f>
        <v>619.55734650229817</v>
      </c>
      <c r="CH594" s="855">
        <f t="shared" si="915"/>
        <v>0.73988354557640745</v>
      </c>
      <c r="CI594" s="1044"/>
      <c r="CJ594" s="1044"/>
      <c r="CK594" s="1044"/>
      <c r="CL594" s="1044"/>
      <c r="CM594" s="1044"/>
      <c r="CN594" s="1044"/>
    </row>
    <row r="595" spans="1:92">
      <c r="A595" s="1034">
        <f t="shared" ref="A595:A659" si="936">A594+1</f>
        <v>41750</v>
      </c>
      <c r="B595" s="1035">
        <f>B593</f>
        <v>0.33333333333333398</v>
      </c>
      <c r="C595" s="854">
        <f t="shared" si="853"/>
        <v>24</v>
      </c>
      <c r="D595" s="1044"/>
      <c r="E595" s="1044"/>
      <c r="F595" s="1044"/>
      <c r="G595" s="1044"/>
      <c r="H595" s="1044"/>
      <c r="I595" s="1044"/>
      <c r="J595" s="1044"/>
      <c r="K595" s="1044"/>
      <c r="L595" s="1044"/>
      <c r="M595" s="1044"/>
      <c r="N595" s="1044"/>
      <c r="O595" s="1044"/>
      <c r="P595" s="1044"/>
      <c r="Q595" s="1044"/>
      <c r="R595" s="1044"/>
      <c r="S595" s="1044"/>
      <c r="T595" s="1044"/>
      <c r="U595" s="1044"/>
      <c r="V595" s="1044"/>
      <c r="W595" s="1044"/>
      <c r="X595" s="1044"/>
      <c r="Y595" s="1044"/>
      <c r="Z595" s="1044"/>
      <c r="AA595" s="1044"/>
      <c r="AB595" s="1044"/>
      <c r="AC595" s="1044"/>
      <c r="AD595" s="1044"/>
      <c r="AE595" s="1044"/>
      <c r="AF595" s="1044"/>
      <c r="AG595" s="1044"/>
      <c r="AH595" s="1044"/>
      <c r="AI595" s="1044"/>
      <c r="AJ595" s="1044"/>
      <c r="AK595" s="1044"/>
      <c r="AL595" s="1044">
        <v>35.700000000000003</v>
      </c>
      <c r="AM595" s="1099">
        <v>2740</v>
      </c>
      <c r="AN595" s="208">
        <f t="shared" si="925"/>
        <v>110.16000000000001</v>
      </c>
      <c r="AO595" s="208">
        <f t="shared" si="926"/>
        <v>12.826797385620914</v>
      </c>
      <c r="AP595" s="1099">
        <v>1693</v>
      </c>
      <c r="AQ595" s="1099">
        <f t="shared" si="889"/>
        <v>101503.44375000001</v>
      </c>
      <c r="AR595" s="76">
        <f t="shared" si="927"/>
        <v>1146.5906249999971</v>
      </c>
      <c r="AS595" s="230">
        <f t="shared" si="928"/>
        <v>47.774609374999876</v>
      </c>
      <c r="AT595" s="208">
        <f t="shared" si="929"/>
        <v>628.82039819810927</v>
      </c>
      <c r="AU595" s="1044"/>
      <c r="AV595" s="230">
        <f t="shared" si="930"/>
        <v>482.71059645598524</v>
      </c>
      <c r="AW595" s="855">
        <f t="shared" si="881"/>
        <v>0.81145833333333128</v>
      </c>
      <c r="AX595" s="1044"/>
      <c r="AY595" s="1044"/>
      <c r="AZ595" s="1044"/>
      <c r="BA595" s="1044"/>
      <c r="BB595" s="1044"/>
      <c r="BC595" s="1044"/>
      <c r="BD595" s="1044"/>
      <c r="BE595" s="1044"/>
      <c r="BF595" s="1044"/>
      <c r="BG595" s="1044"/>
      <c r="BH595" s="1044"/>
      <c r="BI595" s="1044"/>
      <c r="BJ595" s="1044"/>
      <c r="BK595" s="1044"/>
      <c r="BL595" s="1044"/>
      <c r="BM595" s="1044"/>
      <c r="BN595" s="1044"/>
      <c r="BO595" s="1044"/>
      <c r="BP595" s="1044"/>
      <c r="BQ595" s="1044"/>
      <c r="BR595" s="1044"/>
      <c r="BS595" s="1044"/>
      <c r="BT595" s="1044"/>
      <c r="BU595" s="1044"/>
      <c r="BV595" s="1044"/>
      <c r="BW595" s="1044">
        <v>50.5</v>
      </c>
      <c r="BX595" s="1044">
        <v>1711</v>
      </c>
      <c r="BY595" s="1054">
        <f t="shared" si="931"/>
        <v>32</v>
      </c>
      <c r="BZ595" s="1054">
        <f t="shared" si="932"/>
        <v>23.3125</v>
      </c>
      <c r="CA595" s="1044">
        <v>900</v>
      </c>
      <c r="CB595" s="1099">
        <f t="shared" si="894"/>
        <v>54643.359375</v>
      </c>
      <c r="CC595" s="208">
        <f t="shared" si="933"/>
        <v>613.28125</v>
      </c>
      <c r="CD595" s="208">
        <f t="shared" si="934"/>
        <v>25.553385416666668</v>
      </c>
      <c r="CE595" s="230">
        <f t="shared" si="935"/>
        <v>896.76529027370202</v>
      </c>
      <c r="CF595" s="1044"/>
      <c r="CG595" s="208">
        <f>CC595/(AVERAGE(BY595,BY596)*AVERAGE((D$556,D$550,D$578,D$549,D$583,D$591,D$542,D$568,D$570,D$563))*0.01)</f>
        <v>688.39705166922022</v>
      </c>
      <c r="CH595" s="855">
        <f t="shared" si="915"/>
        <v>0.82209282841823061</v>
      </c>
      <c r="CI595" s="1044"/>
      <c r="CJ595" s="1044"/>
      <c r="CK595" s="1044"/>
      <c r="CL595" s="1044"/>
      <c r="CM595" s="1044"/>
      <c r="CN595" s="1044"/>
    </row>
    <row r="596" spans="1:92" ht="15">
      <c r="A596" s="1034">
        <f t="shared" si="936"/>
        <v>41751</v>
      </c>
      <c r="B596" s="1035">
        <f>B594</f>
        <v>0.33333333333333398</v>
      </c>
      <c r="C596" s="854">
        <f t="shared" si="853"/>
        <v>24</v>
      </c>
      <c r="D596" s="1044"/>
      <c r="E596" s="1044"/>
      <c r="F596" s="1044"/>
      <c r="G596" s="1044"/>
      <c r="H596" s="1044"/>
      <c r="I596" s="1044"/>
      <c r="J596" s="1044"/>
      <c r="K596" s="1044"/>
      <c r="L596" s="1044"/>
      <c r="M596" s="1044">
        <v>45</v>
      </c>
      <c r="N596" s="1044">
        <v>85</v>
      </c>
      <c r="O596" s="1044"/>
      <c r="P596" s="1044">
        <v>1400</v>
      </c>
      <c r="Q596" s="210">
        <f t="shared" ref="Q596" si="937">P596/((N596-M596)*N$4)</f>
        <v>6.9665605095541396</v>
      </c>
      <c r="R596" s="225">
        <f t="shared" ref="R596" si="938">10*Q596/(AVERAGE(D$261,D$262))</f>
        <v>23.144719300844319</v>
      </c>
      <c r="S596" s="1044"/>
      <c r="T596" s="1044"/>
      <c r="U596" s="1044"/>
      <c r="V596" s="1044"/>
      <c r="W596" s="1044"/>
      <c r="X596" s="1044"/>
      <c r="Y596" s="1044"/>
      <c r="Z596" s="1044"/>
      <c r="AA596" s="1044"/>
      <c r="AB596" s="1044"/>
      <c r="AC596" s="1044"/>
      <c r="AD596" s="1044"/>
      <c r="AE596" s="1044"/>
      <c r="AF596" s="1044"/>
      <c r="AG596" s="1044"/>
      <c r="AH596" s="1044"/>
      <c r="AI596" s="1044"/>
      <c r="AJ596" s="1044"/>
      <c r="AK596" s="1044"/>
      <c r="AL596" s="1044">
        <v>35.700000000000003</v>
      </c>
      <c r="AM596" s="1099">
        <v>2768</v>
      </c>
      <c r="AN596" s="208">
        <f t="shared" si="925"/>
        <v>60.480000000000004</v>
      </c>
      <c r="AO596" s="208">
        <f t="shared" si="926"/>
        <v>23.363095238095237</v>
      </c>
      <c r="AP596" s="1099">
        <v>1716</v>
      </c>
      <c r="AQ596" s="1099">
        <f t="shared" si="889"/>
        <v>102891.421875</v>
      </c>
      <c r="AR596" s="76">
        <f t="shared" si="927"/>
        <v>1387.9781249999942</v>
      </c>
      <c r="AS596" s="230">
        <f t="shared" si="928"/>
        <v>57.83242187499976</v>
      </c>
      <c r="AT596" s="208">
        <f t="shared" si="929"/>
        <v>1073.8408491785365</v>
      </c>
      <c r="AU596" s="1044"/>
      <c r="AV596" s="230">
        <f t="shared" si="930"/>
        <v>824.32815203056748</v>
      </c>
      <c r="AW596" s="855">
        <f t="shared" si="881"/>
        <v>0.98229166666666257</v>
      </c>
      <c r="AX596" s="1044"/>
      <c r="AY596" s="1044"/>
      <c r="AZ596" s="1044"/>
      <c r="BA596" s="1044"/>
      <c r="BB596" s="1044"/>
      <c r="BC596" s="1044"/>
      <c r="BD596" s="1044"/>
      <c r="BE596" s="1044"/>
      <c r="BF596" s="1044"/>
      <c r="BG596" s="1044"/>
      <c r="BH596" s="1044"/>
      <c r="BI596" s="1044"/>
      <c r="BJ596" s="1044"/>
      <c r="BK596" s="1044"/>
      <c r="BL596" s="1044"/>
      <c r="BM596" s="1044"/>
      <c r="BN596" s="1044"/>
      <c r="BO596" s="1044"/>
      <c r="BP596" s="1044"/>
      <c r="BQ596" s="1044"/>
      <c r="BR596" s="1044"/>
      <c r="BS596" s="1044"/>
      <c r="BT596" s="1044"/>
      <c r="BU596" s="1044"/>
      <c r="BV596" s="1044"/>
      <c r="BW596" s="1044">
        <v>50.8</v>
      </c>
      <c r="BX596" s="1044">
        <v>1727</v>
      </c>
      <c r="BY596" s="1054">
        <f t="shared" si="931"/>
        <v>32</v>
      </c>
      <c r="BZ596" s="1054">
        <f t="shared" si="932"/>
        <v>23.3125</v>
      </c>
      <c r="CA596" s="1044">
        <v>910</v>
      </c>
      <c r="CB596" s="1099">
        <f t="shared" si="894"/>
        <v>55256.640625</v>
      </c>
      <c r="CC596" s="208">
        <f t="shared" si="933"/>
        <v>613.28125</v>
      </c>
      <c r="CD596" s="208">
        <f t="shared" si="934"/>
        <v>25.553385416666668</v>
      </c>
      <c r="CE596" s="230">
        <f t="shared" si="935"/>
        <v>896.76529027370202</v>
      </c>
      <c r="CF596" s="1044"/>
      <c r="CG596" s="208">
        <f>CC596/(AVERAGE(BY596,BY597)*AVERAGE((D$556,D$550,D$578,D$549,D$583,D$591,D$542,D$568,D$570,D$563))*0.01)</f>
        <v>688.39705166922022</v>
      </c>
      <c r="CH596" s="855">
        <f t="shared" si="915"/>
        <v>0.82209282841823061</v>
      </c>
      <c r="CI596" s="1044"/>
      <c r="CJ596" s="1044"/>
      <c r="CK596" s="1044"/>
      <c r="CL596" s="1044"/>
      <c r="CM596" s="1044"/>
      <c r="CN596" s="1044"/>
    </row>
    <row r="597" spans="1:92">
      <c r="A597" s="1034">
        <f t="shared" si="936"/>
        <v>41752</v>
      </c>
      <c r="B597" s="1035">
        <f>B595</f>
        <v>0.33333333333333398</v>
      </c>
      <c r="C597" s="854">
        <f t="shared" si="853"/>
        <v>24</v>
      </c>
      <c r="D597" s="1044"/>
      <c r="E597" s="1044"/>
      <c r="F597" s="1044"/>
      <c r="G597" s="1044"/>
      <c r="H597" s="1044"/>
      <c r="I597" s="1044"/>
      <c r="J597" s="1044"/>
      <c r="K597" s="1044"/>
      <c r="L597" s="1044"/>
      <c r="M597" s="1044"/>
      <c r="N597" s="1044"/>
      <c r="O597" s="1044"/>
      <c r="P597" s="1044"/>
      <c r="Q597" s="1044"/>
      <c r="R597" s="1044"/>
      <c r="S597" s="1044"/>
      <c r="T597" s="1044"/>
      <c r="U597" s="1044"/>
      <c r="V597" s="1044"/>
      <c r="W597" s="1044"/>
      <c r="X597" s="1044"/>
      <c r="Y597" s="1044"/>
      <c r="Z597" s="1044"/>
      <c r="AA597" s="1044"/>
      <c r="AB597" s="1044"/>
      <c r="AC597" s="1044"/>
      <c r="AD597" s="1044"/>
      <c r="AE597" s="1044"/>
      <c r="AF597" s="1044"/>
      <c r="AG597" s="1044"/>
      <c r="AH597" s="1044"/>
      <c r="AI597" s="1044"/>
      <c r="AJ597" s="1044"/>
      <c r="AK597" s="1044"/>
      <c r="AL597" s="1044">
        <v>35.700000000000003</v>
      </c>
      <c r="AM597" s="1099">
        <v>2796</v>
      </c>
      <c r="AN597" s="208">
        <f t="shared" si="925"/>
        <v>60.480000000000004</v>
      </c>
      <c r="AO597" s="208">
        <f t="shared" si="926"/>
        <v>23.363095238095237</v>
      </c>
      <c r="AP597" s="1099">
        <v>1738</v>
      </c>
      <c r="AQ597" s="1099">
        <f t="shared" si="889"/>
        <v>104219.05312500001</v>
      </c>
      <c r="AR597" s="76">
        <f t="shared" si="927"/>
        <v>1327.6312500000058</v>
      </c>
      <c r="AS597" s="230">
        <f t="shared" si="928"/>
        <v>55.31796875000024</v>
      </c>
      <c r="AT597" s="208">
        <f t="shared" si="929"/>
        <v>1027.1521166055654</v>
      </c>
      <c r="AU597" s="1044"/>
      <c r="AV597" s="230">
        <f t="shared" si="930"/>
        <v>788.48779759446256</v>
      </c>
      <c r="AW597" s="855">
        <f t="shared" si="881"/>
        <v>0.93958333333333743</v>
      </c>
      <c r="AX597" s="1044"/>
      <c r="AY597" s="1044"/>
      <c r="AZ597" s="1044"/>
      <c r="BA597" s="1044"/>
      <c r="BB597" s="1044"/>
      <c r="BC597" s="1044"/>
      <c r="BD597" s="1044"/>
      <c r="BE597" s="1044"/>
      <c r="BF597" s="1044"/>
      <c r="BG597" s="1044"/>
      <c r="BH597" s="1044"/>
      <c r="BI597" s="1044"/>
      <c r="BJ597" s="1044"/>
      <c r="BK597" s="1044"/>
      <c r="BL597" s="1044"/>
      <c r="BM597" s="1044"/>
      <c r="BN597" s="1044"/>
      <c r="BO597" s="1044"/>
      <c r="BP597" s="1044"/>
      <c r="BQ597" s="1044"/>
      <c r="BR597" s="1044"/>
      <c r="BS597" s="1044"/>
      <c r="BT597" s="1044"/>
      <c r="BU597" s="1044"/>
      <c r="BV597" s="1044"/>
      <c r="BW597" s="1044">
        <v>50.5</v>
      </c>
      <c r="BX597" s="1044">
        <v>1743</v>
      </c>
      <c r="BY597" s="1054">
        <f t="shared" ref="BY597" si="939">(BX597-BX596)*CB$1/((C597)/24)</f>
        <v>32</v>
      </c>
      <c r="BZ597" s="1054">
        <f t="shared" ref="BZ597" si="940">CB$3/BY597</f>
        <v>23.3125</v>
      </c>
      <c r="CA597" s="1044">
        <v>920</v>
      </c>
      <c r="CB597" s="1099">
        <f t="shared" si="894"/>
        <v>55869.921875</v>
      </c>
      <c r="CC597" s="208">
        <f t="shared" ref="CC597" si="941">(CB597-CB596)/((C597/24))</f>
        <v>613.28125</v>
      </c>
      <c r="CD597" s="208">
        <f t="shared" ref="CD597" si="942">(CB597-CB596)/(C597)</f>
        <v>25.553385416666668</v>
      </c>
      <c r="CE597" s="230">
        <f t="shared" si="935"/>
        <v>896.76529027370202</v>
      </c>
      <c r="CF597" s="1044"/>
      <c r="CG597" s="208">
        <f>CC597/(AVERAGE(BY597,BY598)*AVERAGE((D$556,D$550,D$578,D$549,D$583,D$591,D$542,D$568,D$570,D$563))*0.01)</f>
        <v>688.39705166922022</v>
      </c>
      <c r="CH597" s="855">
        <f t="shared" si="915"/>
        <v>0.82209282841823061</v>
      </c>
      <c r="CI597" s="1044"/>
      <c r="CJ597" s="1044"/>
      <c r="CK597" s="1044"/>
      <c r="CL597" s="1044"/>
      <c r="CM597" s="1044"/>
      <c r="CN597" s="1044"/>
    </row>
    <row r="598" spans="1:92" s="337" customFormat="1" ht="15">
      <c r="A598" s="1036">
        <f t="shared" si="936"/>
        <v>41753</v>
      </c>
      <c r="B598" s="1037">
        <f>B597</f>
        <v>0.33333333333333398</v>
      </c>
      <c r="C598" s="847">
        <f t="shared" si="853"/>
        <v>24</v>
      </c>
      <c r="D598" s="1046">
        <v>3.58</v>
      </c>
      <c r="E598" s="1046">
        <v>78.459999999999994</v>
      </c>
      <c r="F598" s="1023">
        <v>4760</v>
      </c>
      <c r="G598" s="1023"/>
      <c r="H598" s="1023"/>
      <c r="I598" s="1023">
        <v>7862</v>
      </c>
      <c r="J598" s="1023"/>
      <c r="K598" s="1023"/>
      <c r="L598" s="1023"/>
      <c r="M598" s="1023">
        <v>55</v>
      </c>
      <c r="N598" s="1023">
        <v>85</v>
      </c>
      <c r="O598" s="1023"/>
      <c r="P598" s="1023">
        <v>700</v>
      </c>
      <c r="Q598" s="210">
        <f t="shared" ref="Q598" si="943">P598/((N598-M598)*N$4)</f>
        <v>4.6443736730360934</v>
      </c>
      <c r="R598" s="225">
        <f t="shared" ref="R598" si="944">10*Q598/(AVERAGE(D$261,D$262))</f>
        <v>15.429812867229547</v>
      </c>
      <c r="S598" s="1023"/>
      <c r="T598" s="1023"/>
      <c r="U598" s="1023"/>
      <c r="V598" s="1046">
        <v>1.72</v>
      </c>
      <c r="W598" s="1046">
        <v>65.16</v>
      </c>
      <c r="X598" s="1023">
        <v>18300</v>
      </c>
      <c r="Y598" s="1023"/>
      <c r="Z598" s="1023">
        <v>1940</v>
      </c>
      <c r="AA598" s="1023"/>
      <c r="AB598" s="1023"/>
      <c r="AC598" s="1023"/>
      <c r="AD598" s="1021">
        <f>D591*(100-E591)/(100-W598)</f>
        <v>1.7680826636050513</v>
      </c>
      <c r="AE598" s="1055">
        <f>D591-V598</f>
        <v>1.0799999999999998</v>
      </c>
      <c r="AF598" s="847">
        <f>100*(AVERAGE(D$556,D$550,D$578,D$549,D$583,D$591,D$598,D$568,D$570,D$563)-V598)/AVERAGE(D$556,D$550,D$578,D$549,D$583,D$591,D$598,D$568,D$570,D$563)</f>
        <v>39.691644707877359</v>
      </c>
      <c r="AG598" s="847">
        <f>100*(1-((100-AVERAGE(E$556,E$550,E$578,E$549,E$583,E$591,E$598,E$568,E$570,E$563))/(100-W598)))</f>
        <v>34.128766166653691</v>
      </c>
      <c r="AH598" s="1055">
        <f>E591-W598</f>
        <v>12.840000000000003</v>
      </c>
      <c r="AI598" s="847">
        <f>100*(1-((V598*W598)/(AVERAGE(D$556,D$550,D$578,D$549,D$583,D$591,D$598,D$568,D$570,D$563)*AVERAGE(E$556,E$550,E$578,E$549,E$583,E$591,E$598,E$568,E$570,E$563))))</f>
        <v>48.998457347615421</v>
      </c>
      <c r="AJ598" s="847">
        <f>100*100*((AVERAGE(E$556,E$550,E$578,E$549,E$583,E$591,E$598,E$568,E$570,E$563)-W598)/((100-W598)*AVERAGE(E$556,E$550,E$578,E$549,E$583,E$591,E$598,E$568,E$570,E$563)))</f>
        <v>44.294044736527148</v>
      </c>
      <c r="AK598" s="1023"/>
      <c r="AL598" s="1023">
        <v>35.700000000000003</v>
      </c>
      <c r="AM598" s="1099">
        <v>2824</v>
      </c>
      <c r="AN598" s="208">
        <f t="shared" ref="AN598:AN599" si="945">(AM598-AM597)*AQ$1/((C597)/24)</f>
        <v>60.480000000000004</v>
      </c>
      <c r="AO598" s="208">
        <f t="shared" ref="AO598:AO599" si="946">AQ$3/AN598</f>
        <v>23.363095238095237</v>
      </c>
      <c r="AP598" s="1100">
        <v>1762</v>
      </c>
      <c r="AQ598" s="1100">
        <f t="shared" si="889"/>
        <v>105667.378125</v>
      </c>
      <c r="AR598" s="76">
        <f t="shared" ref="AR598:AR617" si="947">(AQ598-AQ597)/(C598/24)</f>
        <v>1448.3249999999971</v>
      </c>
      <c r="AS598" s="230">
        <f t="shared" ref="AS598:AS617" si="948">(AQ598-AQ597)/C598</f>
        <v>60.346874999999876</v>
      </c>
      <c r="AT598" s="208">
        <f>AR598/(AVERAGE(AN598,AN599)*(AVERAGE(D$556,D$550,D$578,D$549,D$583,D$591,D$598,D$568,D$570,D$563))*AVERAGE(E$556,E$550,E$578,E$549,E$583,E$591,E$598,E$568,E$570,E$563)*0.0001)</f>
        <v>1089.7529031707022</v>
      </c>
      <c r="AU598" s="597">
        <f>(AQ598-AQ592)/(AVERAGE(AN592:AN598)*((AVERAGE(D$556,D$550,D$578,D$549,D$583,D$591,D$598,D$568,D$570,D$563)*AVERAGE(E$556,E$550,E$578,E$549,E$583,E$591,E$598,E$568,E$570,E$563))-(V598*W598))*0.0001*(SUM(C592:C598)/24))</f>
        <v>1732.398947030641</v>
      </c>
      <c r="AV598" s="230">
        <f>AR598/(AVERAGE(AN599,AN598)*AVERAGE(D$556,D$550,D$578,D$549,D$583,D$591,D$598,D$568,D$570,D$563)*0.01)</f>
        <v>839.65964799494873</v>
      </c>
      <c r="AW598" s="855">
        <f t="shared" si="881"/>
        <v>1.0249999999999979</v>
      </c>
      <c r="AX598" s="1023">
        <v>67.8</v>
      </c>
      <c r="AY598" s="1023">
        <v>32.1</v>
      </c>
      <c r="AZ598" s="1023">
        <v>0</v>
      </c>
      <c r="BA598" s="1023">
        <v>58</v>
      </c>
      <c r="BB598" s="1023">
        <v>105</v>
      </c>
      <c r="BC598" s="1023"/>
      <c r="BD598" s="1023"/>
      <c r="BE598" s="1023"/>
      <c r="BF598" s="1023"/>
      <c r="BG598" s="1046">
        <v>1.83</v>
      </c>
      <c r="BH598" s="1046">
        <v>62.29</v>
      </c>
      <c r="BI598" s="1023">
        <v>19100</v>
      </c>
      <c r="BJ598" s="1023"/>
      <c r="BK598" s="1023">
        <v>2850</v>
      </c>
      <c r="BL598" s="1023"/>
      <c r="BM598" s="1023"/>
      <c r="BN598" s="1023"/>
      <c r="BO598" s="847">
        <f>D591*(100-E591)/(100-BH598)</f>
        <v>1.6335189604879341</v>
      </c>
      <c r="BP598" s="1055">
        <f>D591-BG598</f>
        <v>0.96999999999999975</v>
      </c>
      <c r="BQ598" s="1056">
        <f>100*(AVERAGE(D$556,D$550,D$578,D$549,D$583,D$591,D$598,D$568,D$570,D$563)-BG598)/AVERAGE(D$556,D$550,D$578,D$549,D$583,D$591,D$598,D$568,D$570,D$563)</f>
        <v>35.834715008962533</v>
      </c>
      <c r="BR598" s="1056">
        <f>100*(1-((100-AVERAGE(E$556,E$550,E$578,E$549,E$583,E$591,E$598,E$568,E$570,E$563))/(100-BH598)))</f>
        <v>39.142036946332922</v>
      </c>
      <c r="BS598" s="1055">
        <f>E591-BH598</f>
        <v>15.71</v>
      </c>
      <c r="BT598" s="1055">
        <f>100*(1-((BG598*BH598)/(AVERAGE(D$556,D$550,D$578,D$549,D$583,D$591,D$598,D$568,D$570,D$563)*AVERAGE(E$556,E$550,E$578,E$549,E$583,E$591,E$598,E$568,E$570,E$563))))</f>
        <v>48.12677962631183</v>
      </c>
      <c r="BU598" s="847">
        <f>100*100*((AVERAGE(E$556,E$550,E$578,E$549,E$583,E$591,E$598,E$568,E$570,E$563)-BH598)/((100-BH598)*AVERAGE(E$556,E$550,E$578,E$549,E$583,E$591,E$598,E$568,E$570,E$563)))</f>
        <v>50.800521973562553</v>
      </c>
      <c r="BV598" s="1023"/>
      <c r="BW598" s="1023">
        <v>50.5</v>
      </c>
      <c r="BX598" s="1023">
        <v>1759</v>
      </c>
      <c r="BY598" s="1054">
        <f t="shared" ref="BY598:BY617" si="949">(BX598-BX597)*CB$1/((C598)/24)</f>
        <v>32</v>
      </c>
      <c r="BZ598" s="1054">
        <f t="shared" ref="BZ598:BZ617" si="950">CB$3/BY598</f>
        <v>23.3125</v>
      </c>
      <c r="CA598" s="1023">
        <v>931</v>
      </c>
      <c r="CB598" s="1100">
        <f t="shared" si="894"/>
        <v>56544.53125</v>
      </c>
      <c r="CC598" s="208">
        <f t="shared" ref="CC598:CC617" si="951">(CB598-CB597)/((C598/24))</f>
        <v>674.609375</v>
      </c>
      <c r="CD598" s="208">
        <f t="shared" ref="CD598:CD617" si="952">(CB598-CB597)/(C598)</f>
        <v>28.108723958333332</v>
      </c>
      <c r="CE598" s="230">
        <f>CC598/(AVERAGE(BY599,BY598)*(AVERAGE(D$556,D$550,D$578,D$549,D$583,D$591,D$598,D$568,D$570,D$563))*AVERAGE(E$556,E$550,E$578,E$549,E$583,E$591,E$598,E$568,E$570,E$563)*0.0001)</f>
        <v>959.34802070286867</v>
      </c>
      <c r="CF598" s="334">
        <f>(CB598-CB592)/(AVERAGE(BY592:BY598)*((AVERAGE(D$556,D$550,D$578,D$549,D$583,D$591,D$598,D$568,D$570,D$563)*AVERAGE(E$556,E$550,E$578,E$549,E$583,E$591,E$598,E$568,E$570,E$563))-(BG598*BH598))*0.0001*(SUM(C592:C598)/24))</f>
        <v>1553.2805603043194</v>
      </c>
      <c r="CG598" s="208">
        <f>CC598/(AVERAGE(BY598,BY599)*AVERAGE((D$556,D$550,D$578,D$549,D$583,D$591,D$598,D$568,D$570,D$563))*0.01)</f>
        <v>739.18208341018885</v>
      </c>
      <c r="CH598" s="855">
        <f t="shared" si="915"/>
        <v>0.90430211126005366</v>
      </c>
      <c r="CI598" s="1023">
        <v>65.7</v>
      </c>
      <c r="CJ598" s="1023">
        <v>34.200000000000003</v>
      </c>
      <c r="CK598" s="1023">
        <v>0</v>
      </c>
      <c r="CL598" s="1023">
        <v>44</v>
      </c>
      <c r="CM598" s="1023">
        <v>115</v>
      </c>
      <c r="CN598" s="1023"/>
    </row>
    <row r="599" spans="1:92">
      <c r="A599" s="1034">
        <f t="shared" si="936"/>
        <v>41754</v>
      </c>
      <c r="B599" s="1035">
        <f t="shared" ref="B599:B662" si="953">B598</f>
        <v>0.33333333333333398</v>
      </c>
      <c r="C599" s="854">
        <f t="shared" ref="C599" si="954">((A599-A598)+(B599-B598))*24</f>
        <v>24</v>
      </c>
      <c r="D599" s="1044"/>
      <c r="E599" s="1044"/>
      <c r="F599" s="1044"/>
      <c r="G599" s="1044"/>
      <c r="H599" s="1044"/>
      <c r="I599" s="1044"/>
      <c r="J599" s="1044"/>
      <c r="K599" s="1044"/>
      <c r="L599" s="1044"/>
      <c r="M599" s="1044"/>
      <c r="N599" s="1044"/>
      <c r="O599" s="1044"/>
      <c r="P599" s="1044"/>
      <c r="Q599" s="1044"/>
      <c r="R599" s="1044"/>
      <c r="S599" s="1044"/>
      <c r="T599" s="1044"/>
      <c r="U599" s="1044"/>
      <c r="V599" s="1044"/>
      <c r="W599" s="1044"/>
      <c r="X599" s="1044"/>
      <c r="Y599" s="1044"/>
      <c r="Z599" s="1044"/>
      <c r="AA599" s="1044"/>
      <c r="AB599" s="1044"/>
      <c r="AC599" s="1044"/>
      <c r="AD599" s="1044"/>
      <c r="AE599" s="1044"/>
      <c r="AF599" s="1044"/>
      <c r="AG599" s="1044"/>
      <c r="AH599" s="1044"/>
      <c r="AI599" s="1044"/>
      <c r="AJ599" s="1044"/>
      <c r="AK599" s="1044"/>
      <c r="AL599" s="1044">
        <v>35.700000000000003</v>
      </c>
      <c r="AM599" s="1099">
        <v>2852</v>
      </c>
      <c r="AN599" s="208">
        <f t="shared" si="945"/>
        <v>60.480000000000004</v>
      </c>
      <c r="AO599" s="208">
        <f t="shared" si="946"/>
        <v>23.363095238095237</v>
      </c>
      <c r="AP599" s="1099">
        <v>1784</v>
      </c>
      <c r="AQ599" s="1099">
        <f t="shared" si="889"/>
        <v>106995.00937500001</v>
      </c>
      <c r="AR599" s="76">
        <f t="shared" si="947"/>
        <v>1327.6312500000058</v>
      </c>
      <c r="AS599" s="230">
        <f t="shared" si="948"/>
        <v>55.31796875000024</v>
      </c>
      <c r="AT599" s="208">
        <f t="shared" ref="AT599:AT603" si="955">AR599/(AVERAGE(AN599,AN600)*(AVERAGE(D$556,D$550,D$578,D$549,D$583,D$591,D$598,D$568,D$570,D$563))*AVERAGE(E$556,E$550,E$578,E$549,E$583,E$591,E$598,E$568,E$570,E$563)*0.0001)</f>
        <v>998.94016123981669</v>
      </c>
      <c r="AU599" s="1044"/>
      <c r="AV599" s="230">
        <f t="shared" ref="AV599:AV603" si="956">AR599/(AVERAGE(AN600,AN599)*AVERAGE(D$556,D$550,D$578,D$549,D$583,D$591,D$598,D$568,D$570,D$563)*0.01)</f>
        <v>769.68801066204128</v>
      </c>
      <c r="AW599" s="855">
        <f t="shared" si="881"/>
        <v>0.93958333333333743</v>
      </c>
      <c r="AX599" s="1044"/>
      <c r="AY599" s="1044"/>
      <c r="AZ599" s="1044"/>
      <c r="BA599" s="1044"/>
      <c r="BB599" s="1044"/>
      <c r="BC599" s="1044"/>
      <c r="BD599" s="1044"/>
      <c r="BE599" s="1044"/>
      <c r="BF599" s="1044"/>
      <c r="BG599" s="1044"/>
      <c r="BH599" s="1044"/>
      <c r="BI599" s="1044"/>
      <c r="BJ599" s="1044"/>
      <c r="BK599" s="1044"/>
      <c r="BL599" s="1044"/>
      <c r="BM599" s="1044"/>
      <c r="BN599" s="1044"/>
      <c r="BO599" s="1044"/>
      <c r="BP599" s="1044"/>
      <c r="BQ599" s="1044"/>
      <c r="BR599" s="1044"/>
      <c r="BS599" s="1044"/>
      <c r="BT599" s="1044"/>
      <c r="BU599" s="1044"/>
      <c r="BV599" s="1044"/>
      <c r="BW599" s="1044">
        <v>50.6</v>
      </c>
      <c r="BX599" s="1044">
        <v>1775</v>
      </c>
      <c r="BY599" s="1054">
        <f t="shared" si="949"/>
        <v>32</v>
      </c>
      <c r="BZ599" s="1054">
        <f t="shared" si="950"/>
        <v>23.3125</v>
      </c>
      <c r="CA599" s="1044">
        <v>940</v>
      </c>
      <c r="CB599" s="1099">
        <f t="shared" si="894"/>
        <v>57096.484375</v>
      </c>
      <c r="CC599" s="208">
        <f t="shared" si="951"/>
        <v>551.953125</v>
      </c>
      <c r="CD599" s="208">
        <f t="shared" si="952"/>
        <v>22.998046875</v>
      </c>
      <c r="CE599" s="230">
        <f t="shared" ref="CE599:CE603" si="957">CC599/(AVERAGE(BY600,BY599)*(AVERAGE(D$556,D$550,D$578,D$549,D$583,D$591,D$598,D$568,D$570,D$563))*AVERAGE(E$556,E$550,E$578,E$549,E$583,E$591,E$598,E$568,E$570,E$563)*0.0001)</f>
        <v>784.92110784780164</v>
      </c>
      <c r="CF599" s="1044"/>
      <c r="CG599" s="208">
        <f>CC599/(AVERAGE(BY599,BY600)*AVERAGE((D$556,D$550,D$578,D$549,D$583,D$591,D$598,D$568,D$570,D$563))*0.01)</f>
        <v>604.78534097197269</v>
      </c>
      <c r="CH599" s="855">
        <f t="shared" si="915"/>
        <v>0.73988354557640745</v>
      </c>
      <c r="CI599" s="1044"/>
      <c r="CJ599" s="1044"/>
      <c r="CK599" s="1044"/>
      <c r="CL599" s="1044"/>
      <c r="CM599" s="1044"/>
      <c r="CN599" s="1044"/>
    </row>
    <row r="600" spans="1:92" ht="15">
      <c r="A600" s="1034">
        <f t="shared" si="936"/>
        <v>41755</v>
      </c>
      <c r="B600" s="1035">
        <f t="shared" si="953"/>
        <v>0.33333333333333398</v>
      </c>
      <c r="C600" s="854">
        <f t="shared" ref="C600:C614" si="958">((A600-A599)+(B600-B599))*24</f>
        <v>24</v>
      </c>
      <c r="D600" s="1044"/>
      <c r="E600" s="1044"/>
      <c r="F600" s="1044"/>
      <c r="G600" s="1044"/>
      <c r="H600" s="1044"/>
      <c r="I600" s="1044"/>
      <c r="J600" s="1044"/>
      <c r="K600" s="1044"/>
      <c r="L600" s="1044"/>
      <c r="M600" s="1044">
        <v>50</v>
      </c>
      <c r="N600" s="1044">
        <v>90</v>
      </c>
      <c r="O600" s="1044"/>
      <c r="P600" s="1044">
        <v>1400</v>
      </c>
      <c r="Q600" s="210">
        <f t="shared" ref="Q600" si="959">P600/((N600-M600)*N$4)</f>
        <v>6.9665605095541396</v>
      </c>
      <c r="R600" s="225">
        <f t="shared" ref="R600" si="960">10*Q600/(AVERAGE(D$261,D$262))</f>
        <v>23.144719300844319</v>
      </c>
      <c r="S600" s="1044"/>
      <c r="T600" s="1044"/>
      <c r="U600" s="1044"/>
      <c r="V600" s="1044"/>
      <c r="W600" s="1044"/>
      <c r="X600" s="1044"/>
      <c r="Y600" s="1044"/>
      <c r="Z600" s="1044"/>
      <c r="AA600" s="1044"/>
      <c r="AB600" s="1044"/>
      <c r="AC600" s="1044"/>
      <c r="AD600" s="1044"/>
      <c r="AE600" s="1044"/>
      <c r="AF600" s="1044"/>
      <c r="AG600" s="1044"/>
      <c r="AH600" s="1044"/>
      <c r="AI600" s="1044"/>
      <c r="AJ600" s="1044"/>
      <c r="AK600" s="1044"/>
      <c r="AL600" s="1044">
        <v>35.700000000000003</v>
      </c>
      <c r="AM600" s="1099">
        <v>2880</v>
      </c>
      <c r="AN600" s="208">
        <f t="shared" ref="AN600:AN616" si="961">(AM600-AM599)*AQ$1/((C599)/24)</f>
        <v>60.480000000000004</v>
      </c>
      <c r="AO600" s="208">
        <f t="shared" ref="AO600:AO616" si="962">AQ$3/AN600</f>
        <v>23.363095238095237</v>
      </c>
      <c r="AP600" s="1099">
        <v>1807</v>
      </c>
      <c r="AQ600" s="1099">
        <f t="shared" si="889"/>
        <v>108382.9875</v>
      </c>
      <c r="AR600" s="76">
        <f t="shared" si="947"/>
        <v>1387.9781249999942</v>
      </c>
      <c r="AS600" s="230">
        <f t="shared" si="948"/>
        <v>57.83242187499976</v>
      </c>
      <c r="AT600" s="208">
        <f t="shared" si="955"/>
        <v>1044.3465322052539</v>
      </c>
      <c r="AU600" s="1044"/>
      <c r="AV600" s="230">
        <f t="shared" si="956"/>
        <v>804.6738293284908</v>
      </c>
      <c r="AW600" s="855">
        <f t="shared" si="881"/>
        <v>0.98229166666666257</v>
      </c>
      <c r="AX600" s="1044"/>
      <c r="AY600" s="1044"/>
      <c r="AZ600" s="1044"/>
      <c r="BA600" s="1044"/>
      <c r="BB600" s="1044"/>
      <c r="BC600" s="1044"/>
      <c r="BD600" s="1044"/>
      <c r="BE600" s="1044"/>
      <c r="BF600" s="1044"/>
      <c r="BG600" s="1044"/>
      <c r="BH600" s="1044"/>
      <c r="BI600" s="1044"/>
      <c r="BJ600" s="1044"/>
      <c r="BK600" s="1044"/>
      <c r="BL600" s="1044"/>
      <c r="BM600" s="1044"/>
      <c r="BN600" s="1044"/>
      <c r="BO600" s="1044"/>
      <c r="BP600" s="1044"/>
      <c r="BQ600" s="1044"/>
      <c r="BR600" s="1044"/>
      <c r="BS600" s="1044"/>
      <c r="BT600" s="1044"/>
      <c r="BU600" s="1044"/>
      <c r="BV600" s="1044"/>
      <c r="BW600" s="1044">
        <v>50.7</v>
      </c>
      <c r="BX600" s="1044">
        <v>1791</v>
      </c>
      <c r="BY600" s="1054">
        <f t="shared" si="949"/>
        <v>32</v>
      </c>
      <c r="BZ600" s="1054">
        <f t="shared" si="950"/>
        <v>23.3125</v>
      </c>
      <c r="CA600" s="1044">
        <v>950</v>
      </c>
      <c r="CB600" s="1099">
        <f t="shared" si="894"/>
        <v>57709.765625</v>
      </c>
      <c r="CC600" s="208">
        <f t="shared" si="951"/>
        <v>613.28125</v>
      </c>
      <c r="CD600" s="208">
        <f t="shared" si="952"/>
        <v>25.553385416666668</v>
      </c>
      <c r="CE600" s="230">
        <f t="shared" si="957"/>
        <v>872.13456427533515</v>
      </c>
      <c r="CF600" s="1044"/>
      <c r="CG600" s="208">
        <f>CC600/(AVERAGE(BY600,BY601)*AVERAGE((D$556,D$550,D$578,D$549,D$583,D$591,D$598,D$568,D$570,D$563))*0.01)</f>
        <v>671.98371219108083</v>
      </c>
      <c r="CH600" s="855">
        <f t="shared" si="915"/>
        <v>0.82209282841823061</v>
      </c>
      <c r="CI600" s="1044"/>
      <c r="CJ600" s="1044"/>
      <c r="CK600" s="1044"/>
      <c r="CL600" s="1044"/>
      <c r="CM600" s="1044"/>
      <c r="CN600" s="1044"/>
    </row>
    <row r="601" spans="1:92">
      <c r="A601" s="1034">
        <f t="shared" si="936"/>
        <v>41756</v>
      </c>
      <c r="B601" s="1035">
        <f t="shared" si="953"/>
        <v>0.33333333333333398</v>
      </c>
      <c r="C601" s="854">
        <f t="shared" si="958"/>
        <v>24</v>
      </c>
      <c r="D601" s="1044"/>
      <c r="E601" s="1044"/>
      <c r="F601" s="1044"/>
      <c r="G601" s="1044"/>
      <c r="H601" s="1044"/>
      <c r="I601" s="1044"/>
      <c r="J601" s="1044"/>
      <c r="K601" s="1044"/>
      <c r="L601" s="1044"/>
      <c r="M601" s="1044"/>
      <c r="N601" s="1044"/>
      <c r="O601" s="1044"/>
      <c r="P601" s="1044"/>
      <c r="Q601" s="1044"/>
      <c r="R601" s="1044"/>
      <c r="S601" s="1044"/>
      <c r="T601" s="1044"/>
      <c r="U601" s="1044"/>
      <c r="V601" s="1044"/>
      <c r="W601" s="1044"/>
      <c r="X601" s="1044"/>
      <c r="Y601" s="1044"/>
      <c r="Z601" s="1044"/>
      <c r="AA601" s="1044"/>
      <c r="AB601" s="1044"/>
      <c r="AC601" s="1044"/>
      <c r="AD601" s="1044"/>
      <c r="AE601" s="1044"/>
      <c r="AF601" s="1044"/>
      <c r="AG601" s="1044"/>
      <c r="AH601" s="1044"/>
      <c r="AI601" s="1044"/>
      <c r="AJ601" s="1044"/>
      <c r="AK601" s="1044"/>
      <c r="AL601" s="1044">
        <v>35.6</v>
      </c>
      <c r="AM601" s="1099">
        <v>2908</v>
      </c>
      <c r="AN601" s="208">
        <f t="shared" si="961"/>
        <v>60.480000000000004</v>
      </c>
      <c r="AO601" s="208">
        <f t="shared" si="962"/>
        <v>23.363095238095237</v>
      </c>
      <c r="AP601" s="1099">
        <v>1830</v>
      </c>
      <c r="AQ601" s="1099">
        <f t="shared" si="889"/>
        <v>109770.96562500001</v>
      </c>
      <c r="AR601" s="76">
        <f t="shared" si="947"/>
        <v>1387.9781250000087</v>
      </c>
      <c r="AS601" s="230">
        <f t="shared" si="948"/>
        <v>57.832421875000364</v>
      </c>
      <c r="AT601" s="208">
        <f t="shared" si="955"/>
        <v>1044.3465322052648</v>
      </c>
      <c r="AU601" s="1044"/>
      <c r="AV601" s="230">
        <f t="shared" si="956"/>
        <v>804.67382932849921</v>
      </c>
      <c r="AW601" s="855">
        <f t="shared" si="881"/>
        <v>0.98229166666667289</v>
      </c>
      <c r="AX601" s="1044"/>
      <c r="AY601" s="1044"/>
      <c r="AZ601" s="1044"/>
      <c r="BA601" s="1044"/>
      <c r="BB601" s="1044"/>
      <c r="BC601" s="1044"/>
      <c r="BD601" s="1044"/>
      <c r="BE601" s="1044"/>
      <c r="BF601" s="1044"/>
      <c r="BG601" s="1044"/>
      <c r="BH601" s="1044"/>
      <c r="BI601" s="1044"/>
      <c r="BJ601" s="1044"/>
      <c r="BK601" s="1044"/>
      <c r="BL601" s="1044"/>
      <c r="BM601" s="1044"/>
      <c r="BN601" s="1044"/>
      <c r="BO601" s="1044"/>
      <c r="BP601" s="1044"/>
      <c r="BQ601" s="1044"/>
      <c r="BR601" s="1044"/>
      <c r="BS601" s="1044"/>
      <c r="BT601" s="1044"/>
      <c r="BU601" s="1044"/>
      <c r="BV601" s="1044"/>
      <c r="BW601" s="1044">
        <v>50.7</v>
      </c>
      <c r="BX601" s="1044">
        <v>1807</v>
      </c>
      <c r="BY601" s="1054">
        <f t="shared" si="949"/>
        <v>32</v>
      </c>
      <c r="BZ601" s="1054">
        <f t="shared" si="950"/>
        <v>23.3125</v>
      </c>
      <c r="CA601" s="1044">
        <v>962</v>
      </c>
      <c r="CB601" s="1099">
        <f t="shared" si="894"/>
        <v>58445.703125</v>
      </c>
      <c r="CC601" s="208">
        <f t="shared" si="951"/>
        <v>735.9375</v>
      </c>
      <c r="CD601" s="208">
        <f t="shared" si="952"/>
        <v>30.6640625</v>
      </c>
      <c r="CE601" s="230">
        <f t="shared" si="957"/>
        <v>1456.0855333988204</v>
      </c>
      <c r="CF601" s="1044"/>
      <c r="CG601" s="208">
        <f>CC601/(AVERAGE(BY601,BY602)*AVERAGE((D$556,D$550,D$578,D$549,D$583,D$591,D$598,D$568,D$570,D$563))*0.01)</f>
        <v>1121.9206325277175</v>
      </c>
      <c r="CH601" s="855">
        <f t="shared" si="915"/>
        <v>0.98651139410187672</v>
      </c>
      <c r="CI601" s="1044"/>
      <c r="CJ601" s="1044"/>
      <c r="CK601" s="1044"/>
      <c r="CL601" s="1044"/>
      <c r="CM601" s="1044"/>
      <c r="CN601" s="1044"/>
    </row>
    <row r="602" spans="1:92" ht="15">
      <c r="A602" s="1034">
        <f t="shared" si="936"/>
        <v>41757</v>
      </c>
      <c r="B602" s="1035">
        <f t="shared" si="953"/>
        <v>0.33333333333333398</v>
      </c>
      <c r="C602" s="854">
        <f t="shared" si="958"/>
        <v>24</v>
      </c>
      <c r="D602" s="1044"/>
      <c r="E602" s="1044"/>
      <c r="F602" s="1044"/>
      <c r="G602" s="1044"/>
      <c r="H602" s="1044"/>
      <c r="I602" s="1044"/>
      <c r="J602" s="1044"/>
      <c r="K602" s="1044"/>
      <c r="L602" s="1044"/>
      <c r="M602" s="1044">
        <v>65</v>
      </c>
      <c r="N602" s="1044">
        <v>85</v>
      </c>
      <c r="O602" s="1044"/>
      <c r="P602" s="1044">
        <v>700</v>
      </c>
      <c r="Q602" s="210">
        <f t="shared" ref="Q602" si="963">P602/((N602-M602)*N$4)</f>
        <v>6.9665605095541396</v>
      </c>
      <c r="R602" s="225">
        <f t="shared" ref="R602" si="964">10*Q602/(AVERAGE(D$261,D$262))</f>
        <v>23.144719300844319</v>
      </c>
      <c r="S602" s="1044"/>
      <c r="T602" s="1044"/>
      <c r="U602" s="1044"/>
      <c r="V602" s="1044"/>
      <c r="W602" s="1044"/>
      <c r="X602" s="1044"/>
      <c r="Y602" s="1044"/>
      <c r="Z602" s="1044"/>
      <c r="AA602" s="1044"/>
      <c r="AB602" s="1044"/>
      <c r="AC602" s="1044"/>
      <c r="AD602" s="1044"/>
      <c r="AE602" s="1044"/>
      <c r="AF602" s="1044"/>
      <c r="AG602" s="1044"/>
      <c r="AH602" s="1044"/>
      <c r="AI602" s="1044"/>
      <c r="AJ602" s="1044"/>
      <c r="AK602" s="1044"/>
      <c r="AL602" s="1044">
        <v>35.5</v>
      </c>
      <c r="AM602" s="1099">
        <v>2936</v>
      </c>
      <c r="AN602" s="208">
        <f t="shared" si="961"/>
        <v>60.480000000000004</v>
      </c>
      <c r="AO602" s="208">
        <f t="shared" si="962"/>
        <v>23.363095238095237</v>
      </c>
      <c r="AP602" s="1099">
        <v>1856</v>
      </c>
      <c r="AQ602" s="1099">
        <f t="shared" si="889"/>
        <v>111339.98437500001</v>
      </c>
      <c r="AR602" s="76">
        <f t="shared" si="947"/>
        <v>1569.0187500000029</v>
      </c>
      <c r="AS602" s="230">
        <f t="shared" si="948"/>
        <v>65.375781250000117</v>
      </c>
      <c r="AT602" s="208">
        <f t="shared" si="955"/>
        <v>1180.5656451015986</v>
      </c>
      <c r="AU602" s="1044"/>
      <c r="AV602" s="230">
        <f t="shared" si="956"/>
        <v>909.6312853278647</v>
      </c>
      <c r="AW602" s="855">
        <f t="shared" si="881"/>
        <v>1.1104166666666688</v>
      </c>
      <c r="AX602" s="1044"/>
      <c r="AY602" s="1044"/>
      <c r="AZ602" s="1044"/>
      <c r="BA602" s="1044"/>
      <c r="BB602" s="1044"/>
      <c r="BC602" s="1044"/>
      <c r="BD602" s="1044"/>
      <c r="BE602" s="1044"/>
      <c r="BF602" s="1044"/>
      <c r="BG602" s="1044"/>
      <c r="BH602" s="1044"/>
      <c r="BI602" s="1044"/>
      <c r="BJ602" s="1044"/>
      <c r="BK602" s="1044"/>
      <c r="BL602" s="1044"/>
      <c r="BM602" s="1044"/>
      <c r="BN602" s="1044"/>
      <c r="BO602" s="1044"/>
      <c r="BP602" s="1044"/>
      <c r="BQ602" s="1044"/>
      <c r="BR602" s="1044"/>
      <c r="BS602" s="1044"/>
      <c r="BT602" s="1044"/>
      <c r="BU602" s="1044"/>
      <c r="BV602" s="1044"/>
      <c r="BW602" s="1044">
        <v>50.4</v>
      </c>
      <c r="BX602" s="1044">
        <v>1814</v>
      </c>
      <c r="BY602" s="1054">
        <f t="shared" si="949"/>
        <v>14</v>
      </c>
      <c r="BZ602" s="1054">
        <f t="shared" si="950"/>
        <v>53.285714285714285</v>
      </c>
      <c r="CA602" s="1044">
        <v>972</v>
      </c>
      <c r="CB602" s="1099">
        <f t="shared" si="894"/>
        <v>59058.984375</v>
      </c>
      <c r="CC602" s="208">
        <f t="shared" si="951"/>
        <v>613.28125</v>
      </c>
      <c r="CD602" s="208">
        <f t="shared" si="952"/>
        <v>25.553385416666668</v>
      </c>
      <c r="CE602" s="230">
        <f t="shared" si="957"/>
        <v>872.13456427533515</v>
      </c>
      <c r="CF602" s="1044"/>
      <c r="CG602" s="208">
        <f>CC602/(AVERAGE(BY602,BY603)*AVERAGE((D$556,D$550,D$578,D$549,D$583,D$591,D$598,D$568,D$570,D$563))*0.01)</f>
        <v>671.98371219108083</v>
      </c>
      <c r="CH602" s="855">
        <f t="shared" si="915"/>
        <v>0.82209282841823061</v>
      </c>
      <c r="CI602" s="1044"/>
      <c r="CJ602" s="1044"/>
      <c r="CK602" s="1044"/>
      <c r="CL602" s="1044"/>
      <c r="CM602" s="1044"/>
      <c r="CN602" s="1044"/>
    </row>
    <row r="603" spans="1:92">
      <c r="A603" s="1034">
        <f t="shared" si="936"/>
        <v>41758</v>
      </c>
      <c r="B603" s="1035">
        <f t="shared" si="953"/>
        <v>0.33333333333333398</v>
      </c>
      <c r="C603" s="854">
        <f t="shared" si="958"/>
        <v>24</v>
      </c>
      <c r="D603" s="1044"/>
      <c r="E603" s="1044"/>
      <c r="F603" s="1044"/>
      <c r="G603" s="1044"/>
      <c r="H603" s="1044"/>
      <c r="I603" s="1044"/>
      <c r="J603" s="1044"/>
      <c r="K603" s="1044"/>
      <c r="L603" s="1044"/>
      <c r="M603" s="1044"/>
      <c r="N603" s="1044"/>
      <c r="O603" s="1044"/>
      <c r="P603" s="1044"/>
      <c r="Q603" s="1044"/>
      <c r="R603" s="1044"/>
      <c r="S603" s="1044"/>
      <c r="T603" s="1044"/>
      <c r="U603" s="1044"/>
      <c r="V603" s="1044"/>
      <c r="W603" s="1044"/>
      <c r="X603" s="1044"/>
      <c r="Y603" s="1044"/>
      <c r="Z603" s="1044"/>
      <c r="AA603" s="1044"/>
      <c r="AB603" s="1044"/>
      <c r="AC603" s="1044"/>
      <c r="AD603" s="1044"/>
      <c r="AE603" s="1044"/>
      <c r="AF603" s="1044"/>
      <c r="AG603" s="1044"/>
      <c r="AH603" s="1044"/>
      <c r="AI603" s="1044"/>
      <c r="AJ603" s="1044"/>
      <c r="AK603" s="1044"/>
      <c r="AL603" s="1044">
        <v>35.6</v>
      </c>
      <c r="AM603" s="1100">
        <v>2964</v>
      </c>
      <c r="AN603" s="208">
        <f t="shared" si="961"/>
        <v>60.480000000000004</v>
      </c>
      <c r="AO603" s="208">
        <f t="shared" si="962"/>
        <v>23.363095238095237</v>
      </c>
      <c r="AP603" s="1099">
        <v>1883</v>
      </c>
      <c r="AQ603" s="1099">
        <f t="shared" si="889"/>
        <v>112969.35</v>
      </c>
      <c r="AR603" s="76">
        <f t="shared" si="947"/>
        <v>1629.3656249999913</v>
      </c>
      <c r="AS603" s="230">
        <f t="shared" si="948"/>
        <v>67.890234374999636</v>
      </c>
      <c r="AT603" s="208">
        <f t="shared" si="955"/>
        <v>1225.9720160670358</v>
      </c>
      <c r="AU603" s="1044"/>
      <c r="AV603" s="230">
        <f t="shared" si="956"/>
        <v>944.61710399431422</v>
      </c>
      <c r="AW603" s="855">
        <f t="shared" si="881"/>
        <v>1.1531249999999937</v>
      </c>
      <c r="AX603" s="1044"/>
      <c r="AY603" s="1044"/>
      <c r="AZ603" s="1044"/>
      <c r="BA603" s="1044"/>
      <c r="BB603" s="1044"/>
      <c r="BC603" s="1044"/>
      <c r="BD603" s="1044"/>
      <c r="BE603" s="1044"/>
      <c r="BF603" s="1044"/>
      <c r="BG603" s="1044"/>
      <c r="BH603" s="1044"/>
      <c r="BI603" s="1044"/>
      <c r="BJ603" s="1044"/>
      <c r="BK603" s="1044"/>
      <c r="BL603" s="1044"/>
      <c r="BM603" s="1044"/>
      <c r="BN603" s="1044"/>
      <c r="BO603" s="1044"/>
      <c r="BP603" s="1044"/>
      <c r="BQ603" s="1044"/>
      <c r="BR603" s="1044"/>
      <c r="BS603" s="1044"/>
      <c r="BT603" s="1044"/>
      <c r="BU603" s="1044"/>
      <c r="BV603" s="1044"/>
      <c r="BW603" s="1044">
        <v>50.6</v>
      </c>
      <c r="BX603" s="1044">
        <v>1839</v>
      </c>
      <c r="BY603" s="1054">
        <f t="shared" si="949"/>
        <v>50</v>
      </c>
      <c r="BZ603" s="1054">
        <f t="shared" si="950"/>
        <v>14.92</v>
      </c>
      <c r="CA603" s="1044">
        <v>988</v>
      </c>
      <c r="CB603" s="1099">
        <f t="shared" si="894"/>
        <v>60040.234375</v>
      </c>
      <c r="CC603" s="208">
        <f t="shared" si="951"/>
        <v>981.25</v>
      </c>
      <c r="CD603" s="208">
        <f t="shared" si="952"/>
        <v>40.885416666666664</v>
      </c>
      <c r="CE603" s="230">
        <f t="shared" si="957"/>
        <v>1089.1046266072478</v>
      </c>
      <c r="CF603" s="1044"/>
      <c r="CG603" s="208">
        <f>CC603/(AVERAGE(BY603,BY604)*AVERAGE((D$556,D$550,D$578,D$549,D$583,D$591,D$598,D$568,D$570,D$563))*0.01)</f>
        <v>839.16014790691077</v>
      </c>
      <c r="CH603" s="855">
        <f t="shared" si="915"/>
        <v>1.3153485254691688</v>
      </c>
      <c r="CI603" s="1044"/>
      <c r="CJ603" s="1044"/>
      <c r="CK603" s="1044"/>
      <c r="CL603" s="1044"/>
      <c r="CM603" s="1044"/>
      <c r="CN603" s="1044"/>
    </row>
    <row r="604" spans="1:92" s="337" customFormat="1">
      <c r="A604" s="1036">
        <f t="shared" si="936"/>
        <v>41759</v>
      </c>
      <c r="B604" s="1037">
        <f t="shared" si="953"/>
        <v>0.33333333333333398</v>
      </c>
      <c r="C604" s="847">
        <f t="shared" si="958"/>
        <v>24</v>
      </c>
      <c r="D604" s="1023">
        <v>3.9</v>
      </c>
      <c r="E604" s="1023">
        <v>79</v>
      </c>
      <c r="F604" s="1023">
        <v>51200</v>
      </c>
      <c r="G604" s="1023"/>
      <c r="H604" s="1023">
        <v>48.1</v>
      </c>
      <c r="I604" s="1023">
        <v>9178</v>
      </c>
      <c r="J604" s="1023">
        <v>4958</v>
      </c>
      <c r="K604" s="1023">
        <v>48.6</v>
      </c>
      <c r="L604" s="1023">
        <v>153</v>
      </c>
      <c r="M604" s="1023"/>
      <c r="N604" s="1023"/>
      <c r="O604" s="1023"/>
      <c r="P604" s="1023"/>
      <c r="Q604" s="1023"/>
      <c r="R604" s="1023"/>
      <c r="S604" s="1023"/>
      <c r="T604" s="1023"/>
      <c r="U604" s="1023"/>
      <c r="V604" s="1023">
        <v>1.9</v>
      </c>
      <c r="W604" s="1023">
        <v>67.099999999999994</v>
      </c>
      <c r="X604" s="1023">
        <v>19700</v>
      </c>
      <c r="Y604" s="1023">
        <v>32</v>
      </c>
      <c r="Z604" s="1023">
        <v>890</v>
      </c>
      <c r="AA604" s="1023">
        <v>297</v>
      </c>
      <c r="AB604" s="1023">
        <v>61.2</v>
      </c>
      <c r="AC604" s="1023">
        <v>198</v>
      </c>
      <c r="AD604" s="1021">
        <f>D598*(100-E598)/(100-W604)</f>
        <v>2.3438662613981767</v>
      </c>
      <c r="AE604" s="1055">
        <f>D598-V604</f>
        <v>1.6800000000000002</v>
      </c>
      <c r="AF604" s="847">
        <f>100*(AVERAGE(D$556,D$550,D$578,D$604,D$583,D$591,D$598,D$568,D$570,D$563)-V604)/AVERAGE(D$556,D$550,D$578,D$604,D$583,D$591,D$598,D$568,D$570,D$563)</f>
        <v>36.709060270320762</v>
      </c>
      <c r="AG604" s="847">
        <f>100*(1-((100-AVERAGE(E$556,E$550,E$578,E$604,E$583,E$591,E$598,E$568,E$570,E$563))/(100-W604)))</f>
        <v>31.156419855508044</v>
      </c>
      <c r="AH604" s="1055">
        <f>E598-W604</f>
        <v>11.36</v>
      </c>
      <c r="AI604" s="847">
        <f>100*(1-((V604*W604)/(AVERAGE(D$556,D$550,D$578,D$604,D$583,D$591,D$598,D$568,D$570,D$563)*AVERAGE(E$556,E$550,E$578,E$604,E$583,E$591,E$598,E$568,E$570,E$563))))</f>
        <v>45.096358330880783</v>
      </c>
      <c r="AJ604" s="847">
        <f>100*100*((AVERAGE(E$556,E$550,E$578,E$604,E$583,E$591,E$598,E$568,E$570,E$563)-W604)/((100-W604)*AVERAGE(E$556,E$550,E$578,E$604,E$583,E$591,E$598,E$568,E$570,E$563)))</f>
        <v>40.279552308495433</v>
      </c>
      <c r="AK604" s="1023"/>
      <c r="AL604" s="1023">
        <v>35.700000000000003</v>
      </c>
      <c r="AM604" s="1099">
        <v>2992</v>
      </c>
      <c r="AN604" s="208">
        <f t="shared" si="961"/>
        <v>60.480000000000004</v>
      </c>
      <c r="AO604" s="208">
        <f t="shared" si="962"/>
        <v>23.363095238095237</v>
      </c>
      <c r="AP604" s="1100">
        <v>1911</v>
      </c>
      <c r="AQ604" s="1099">
        <f t="shared" si="889"/>
        <v>114659.06250000001</v>
      </c>
      <c r="AR604" s="76">
        <f t="shared" si="947"/>
        <v>1689.7125000000087</v>
      </c>
      <c r="AS604" s="230">
        <f t="shared" si="948"/>
        <v>70.404687500000364</v>
      </c>
      <c r="AT604" s="208">
        <f>AR604/(AVERAGE(AN604,AN605)*(AVERAGE(D$556,D$550,D$578,D$604,D$583,D$591,D$598,D$568,D$570,D$563))*AVERAGE(E$556,E$550,E$578,E$604,E$583,E$591,E$598,E$568,E$570,E$563)*0.0001)</f>
        <v>1203.1674237526058</v>
      </c>
      <c r="AU604" s="597">
        <f>(AQ604-AQ598)/(AVERAGE(AN598:AN604)*((AVERAGE(D$556,D$550,D$578,D$604,D$583,D$591,D$598,D$568,D$570,D$563)*AVERAGE(E$556,E$550,E$578,E$604,E$583,E$591,E$598,E$568,E$570,E$563))-(V604*W604))*0.0001*(SUM(C598:C604)/24))</f>
        <v>2028.218730464188</v>
      </c>
      <c r="AV604" s="230">
        <f>AR604/(AVERAGE(AN605,AN604)*AVERAGE(D$556,D$550,D$578,D$604,D$583,D$591,D$598,D$568,D$570,D$563)*0.01)</f>
        <v>930.65556249987981</v>
      </c>
      <c r="AW604" s="855">
        <f t="shared" si="881"/>
        <v>1.1958333333333395</v>
      </c>
      <c r="AX604" s="1023"/>
      <c r="AY604" s="1023"/>
      <c r="AZ604" s="1023"/>
      <c r="BA604" s="1023"/>
      <c r="BB604" s="1023"/>
      <c r="BC604" s="1023"/>
      <c r="BD604" s="1023"/>
      <c r="BE604" s="1023"/>
      <c r="BF604" s="1023"/>
      <c r="BG604" s="1098">
        <v>2</v>
      </c>
      <c r="BH604" s="1023">
        <v>65.2</v>
      </c>
      <c r="BI604" s="1023">
        <v>18700</v>
      </c>
      <c r="BJ604" s="1023">
        <v>31.5</v>
      </c>
      <c r="BK604" s="1023">
        <v>2634</v>
      </c>
      <c r="BL604" s="1023">
        <v>697</v>
      </c>
      <c r="BM604" s="1023">
        <v>73.3</v>
      </c>
      <c r="BN604" s="1023">
        <v>129</v>
      </c>
      <c r="BO604" s="847">
        <f>D598*(100-E598)/(100-BH604)</f>
        <v>2.2158965517241387</v>
      </c>
      <c r="BP604" s="1055">
        <f>D598-BG604</f>
        <v>1.58</v>
      </c>
      <c r="BQ604" s="1056">
        <f>100*(AVERAGE(D$556,D$550,D$578,D$604,D$583,D$591,D$598,D$568,D$570,D$563)-BG604)/AVERAGE(D$556,D$550,D$578,D$604,D$583,D$591,D$598,D$568,D$570,D$563)</f>
        <v>33.37795817928501</v>
      </c>
      <c r="BR604" s="1056">
        <f>100*(1-((100-AVERAGE(E$556,E$550,E$578,E$604,E$583,E$591,E$598,E$568,E$570,E$563))/(100-BH604)))</f>
        <v>34.915121070293509</v>
      </c>
      <c r="BS604" s="1055">
        <f>E598-BH604</f>
        <v>13.259999999999991</v>
      </c>
      <c r="BT604" s="1055">
        <f>100*(1-((BG604*BH604)/(AVERAGE(D$556,D$550,D$578,D$604,D$583,D$591,D$598,D$568,D$570,D$563)*AVERAGE(E$556,E$550,E$578,E$604,E$583,E$591,E$598,E$568,E$570,E$563))))</f>
        <v>43.843165160772237</v>
      </c>
      <c r="BU604" s="847">
        <f>100*100*((AVERAGE(E$556,E$550,E$578,E$604,E$583,E$591,E$598,E$568,E$570,E$563)-BH604)/((100-BH604)*AVERAGE(E$556,E$550,E$578,E$604,E$583,E$591,E$598,E$568,E$570,E$563)))</f>
        <v>45.13886550606717</v>
      </c>
      <c r="BV604" s="1023"/>
      <c r="BW604" s="1023">
        <v>50.7</v>
      </c>
      <c r="BX604" s="1023">
        <v>1855</v>
      </c>
      <c r="BY604" s="1054">
        <f t="shared" si="949"/>
        <v>32</v>
      </c>
      <c r="BZ604" s="1054">
        <f t="shared" si="950"/>
        <v>23.3125</v>
      </c>
      <c r="CA604" s="1023">
        <v>1002</v>
      </c>
      <c r="CB604" s="1100">
        <f t="shared" si="894"/>
        <v>60898.828125</v>
      </c>
      <c r="CC604" s="208">
        <f t="shared" si="951"/>
        <v>858.59375</v>
      </c>
      <c r="CD604" s="208">
        <f t="shared" si="952"/>
        <v>35.774739583333336</v>
      </c>
      <c r="CE604" s="230">
        <f>CC604/(AVERAGE(BY605,BY604)*(AVERAGE(D$556,D$550,D$578,D$604,D$583,D$591,D$598,D$568,D$570,D$563))*AVERAGE(E$556,E$550,E$578,E$604,E$583,E$591,E$598,E$568,E$570,E$563)*0.0001)</f>
        <v>1155.4809100063078</v>
      </c>
      <c r="CF604" s="334">
        <f>(CB604-CB598)/(AVERAGE(BY598:BY604)*((AVERAGE(D$556,D$550,D$578,D$604,D$583,D$591,D$598,D$568,D$570,D$563)*AVERAGE(E$556,E$550,E$578,E$604,E$583,E$591,E$598,E$568,E$570,E$563))-(BG604*BH604))*0.0001*(SUM(C598:C604)/24))</f>
        <v>1909.3834252346539</v>
      </c>
      <c r="CG604" s="208">
        <f>CC604/(AVERAGE(BY604,BY605)*AVERAGE((D$556,D$550,D$578,D$604,D$583,D$591,D$598,D$568,D$570,D$563))*0.01)</f>
        <v>893.76982374225804</v>
      </c>
      <c r="CH604" s="855">
        <f t="shared" si="915"/>
        <v>1.1509299597855227</v>
      </c>
      <c r="CI604" s="1023"/>
      <c r="CJ604" s="1023"/>
      <c r="CK604" s="1023"/>
      <c r="CL604" s="1023"/>
      <c r="CM604" s="1023"/>
      <c r="CN604" s="1023"/>
    </row>
    <row r="605" spans="1:92" ht="15">
      <c r="A605" s="1034">
        <f t="shared" si="936"/>
        <v>41760</v>
      </c>
      <c r="B605" s="1035">
        <f t="shared" si="953"/>
        <v>0.33333333333333398</v>
      </c>
      <c r="C605" s="854">
        <f t="shared" si="958"/>
        <v>24</v>
      </c>
      <c r="D605" s="1044"/>
      <c r="E605" s="1044"/>
      <c r="F605" s="1044"/>
      <c r="G605" s="1044"/>
      <c r="H605" s="1044"/>
      <c r="I605" s="1044"/>
      <c r="J605" s="1044"/>
      <c r="K605" s="1044"/>
      <c r="L605" s="1044"/>
      <c r="M605" s="1044">
        <v>55</v>
      </c>
      <c r="N605" s="1044">
        <v>85</v>
      </c>
      <c r="O605" s="1044"/>
      <c r="P605" s="1044">
        <v>1050</v>
      </c>
      <c r="Q605" s="210">
        <f t="shared" ref="Q605" si="965">P605/((N605-M605)*N$4)</f>
        <v>6.9665605095541405</v>
      </c>
      <c r="R605" s="225">
        <f t="shared" ref="R605" si="966">10*Q605/(AVERAGE(D$261,D$262))</f>
        <v>23.144719300844322</v>
      </c>
      <c r="S605" s="1044"/>
      <c r="T605" s="1044"/>
      <c r="U605" s="1044"/>
      <c r="V605" s="1044"/>
      <c r="W605" s="1044"/>
      <c r="X605" s="1044"/>
      <c r="Y605" s="1044"/>
      <c r="Z605" s="1044"/>
      <c r="AA605" s="1044"/>
      <c r="AB605" s="1044"/>
      <c r="AC605" s="1044"/>
      <c r="AD605" s="1044"/>
      <c r="AE605" s="1044"/>
      <c r="AF605" s="1044"/>
      <c r="AG605" s="1044"/>
      <c r="AH605" s="1044"/>
      <c r="AI605" s="1044"/>
      <c r="AJ605" s="1044"/>
      <c r="AK605" s="1044"/>
      <c r="AL605" s="1044">
        <v>35.799999999999997</v>
      </c>
      <c r="AM605" s="1099">
        <v>3020</v>
      </c>
      <c r="AN605" s="208">
        <f t="shared" si="961"/>
        <v>60.480000000000004</v>
      </c>
      <c r="AO605" s="208">
        <f t="shared" si="962"/>
        <v>23.363095238095237</v>
      </c>
      <c r="AP605" s="1099">
        <v>1939</v>
      </c>
      <c r="AQ605" s="1099">
        <f t="shared" si="889"/>
        <v>116348.77500000001</v>
      </c>
      <c r="AR605" s="76">
        <f t="shared" si="947"/>
        <v>1689.7124999999942</v>
      </c>
      <c r="AS605" s="230">
        <f t="shared" si="948"/>
        <v>70.404687499999753</v>
      </c>
      <c r="AT605" s="208">
        <f t="shared" ref="AT605:AT611" si="967">AR605/(AVERAGE(AN605,AN606)*(AVERAGE(D$556,D$550,D$578,D$604,D$583,D$591,D$598,D$568,D$570,D$563))*AVERAGE(E$556,E$550,E$578,E$604,E$583,E$591,E$598,E$568,E$570,E$563)*0.0001)</f>
        <v>1203.1674237525956</v>
      </c>
      <c r="AU605" s="1044"/>
      <c r="AV605" s="230">
        <f t="shared" ref="AV605:AV611" si="968">AR605/(AVERAGE(AN606,AN605)*AVERAGE(D$556,D$550,D$578,D$604,D$583,D$591,D$598,D$568,D$570,D$563)*0.01)</f>
        <v>930.65556249987173</v>
      </c>
      <c r="AW605" s="855">
        <f t="shared" si="881"/>
        <v>1.1958333333333293</v>
      </c>
      <c r="AX605" s="1044"/>
      <c r="AY605" s="1044"/>
      <c r="AZ605" s="1044"/>
      <c r="BA605" s="1044"/>
      <c r="BB605" s="1044"/>
      <c r="BC605" s="1044"/>
      <c r="BD605" s="1044"/>
      <c r="BE605" s="1044"/>
      <c r="BF605" s="1044"/>
      <c r="BG605" s="1044"/>
      <c r="BH605" s="1044"/>
      <c r="BI605" s="1044"/>
      <c r="BJ605" s="1044"/>
      <c r="BK605" s="1044"/>
      <c r="BL605" s="1044"/>
      <c r="BM605" s="1044"/>
      <c r="BN605" s="1044"/>
      <c r="BO605" s="1044"/>
      <c r="BP605" s="1044"/>
      <c r="BQ605" s="1044"/>
      <c r="BR605" s="1044"/>
      <c r="BS605" s="1044"/>
      <c r="BT605" s="1044"/>
      <c r="BU605" s="1044"/>
      <c r="BV605" s="1044"/>
      <c r="BW605" s="1044">
        <v>50.5</v>
      </c>
      <c r="BX605" s="1044">
        <v>1871</v>
      </c>
      <c r="BY605" s="1054">
        <f t="shared" si="949"/>
        <v>32</v>
      </c>
      <c r="BZ605" s="1054">
        <f t="shared" si="950"/>
        <v>23.3125</v>
      </c>
      <c r="CA605" s="1044">
        <v>1017</v>
      </c>
      <c r="CB605" s="1099">
        <f t="shared" si="894"/>
        <v>61818.75</v>
      </c>
      <c r="CC605" s="208">
        <f t="shared" si="951"/>
        <v>919.921875</v>
      </c>
      <c r="CD605" s="208">
        <f t="shared" si="952"/>
        <v>38.330078125</v>
      </c>
      <c r="CE605" s="230">
        <f t="shared" ref="CE605:CE611" si="969">CC605/(AVERAGE(BY606,BY605)*(AVERAGE(D$556,D$550,D$578,D$604,D$583,D$591,D$598,D$568,D$570,D$563))*AVERAGE(E$556,E$550,E$578,E$604,E$583,E$591,E$598,E$568,E$570,E$563)*0.0001)</f>
        <v>1238.0152607210439</v>
      </c>
      <c r="CF605" s="1044"/>
      <c r="CG605" s="208">
        <f>CC605/(AVERAGE(BY605,BY606)*AVERAGE((D$556,D$550,D$578,D$604,D$583,D$591,D$598,D$568,D$570,D$563))*0.01)</f>
        <v>957.61052543813355</v>
      </c>
      <c r="CH605" s="855">
        <f t="shared" si="915"/>
        <v>1.2331392426273458</v>
      </c>
      <c r="CI605" s="1044"/>
      <c r="CJ605" s="1044"/>
      <c r="CK605" s="1044"/>
      <c r="CL605" s="1044"/>
      <c r="CM605" s="1044"/>
      <c r="CN605" s="1044"/>
    </row>
    <row r="606" spans="1:92">
      <c r="A606" s="1034">
        <f t="shared" si="936"/>
        <v>41761</v>
      </c>
      <c r="B606" s="1035">
        <f t="shared" si="953"/>
        <v>0.33333333333333398</v>
      </c>
      <c r="C606" s="854">
        <f t="shared" si="958"/>
        <v>24</v>
      </c>
      <c r="D606" s="1044"/>
      <c r="E606" s="1044"/>
      <c r="F606" s="1044"/>
      <c r="G606" s="1044"/>
      <c r="H606" s="1044"/>
      <c r="I606" s="1044"/>
      <c r="J606" s="1044"/>
      <c r="K606" s="1044"/>
      <c r="L606" s="1044"/>
      <c r="M606" s="1044"/>
      <c r="N606" s="1044"/>
      <c r="O606" s="1044"/>
      <c r="P606" s="1044"/>
      <c r="Q606" s="1044"/>
      <c r="R606" s="1044"/>
      <c r="S606" s="1044"/>
      <c r="T606" s="1044"/>
      <c r="U606" s="1044"/>
      <c r="V606" s="1044"/>
      <c r="W606" s="1044"/>
      <c r="X606" s="1044"/>
      <c r="Y606" s="1044"/>
      <c r="Z606" s="1044"/>
      <c r="AA606" s="1044"/>
      <c r="AB606" s="1044"/>
      <c r="AC606" s="1044"/>
      <c r="AD606" s="1044"/>
      <c r="AE606" s="1044"/>
      <c r="AF606" s="1044"/>
      <c r="AG606" s="1044"/>
      <c r="AH606" s="1044"/>
      <c r="AI606" s="1044"/>
      <c r="AJ606" s="1044"/>
      <c r="AK606" s="1044"/>
      <c r="AL606" s="1044">
        <v>35.700000000000003</v>
      </c>
      <c r="AM606" s="1099">
        <v>3048</v>
      </c>
      <c r="AN606" s="208">
        <f t="shared" si="961"/>
        <v>60.480000000000004</v>
      </c>
      <c r="AO606" s="208">
        <f t="shared" si="962"/>
        <v>23.363095238095237</v>
      </c>
      <c r="AP606" s="1099">
        <v>1963</v>
      </c>
      <c r="AQ606" s="1099">
        <f t="shared" si="889"/>
        <v>117797.1</v>
      </c>
      <c r="AR606" s="76">
        <f t="shared" si="947"/>
        <v>1448.3249999999971</v>
      </c>
      <c r="AS606" s="230">
        <f t="shared" si="948"/>
        <v>60.346874999999876</v>
      </c>
      <c r="AT606" s="208">
        <f t="shared" si="967"/>
        <v>1031.286363216512</v>
      </c>
      <c r="AU606" s="1044"/>
      <c r="AV606" s="230">
        <f t="shared" si="968"/>
        <v>797.70476785703408</v>
      </c>
      <c r="AW606" s="855">
        <f t="shared" si="881"/>
        <v>1.0249999999999979</v>
      </c>
      <c r="AX606" s="1044"/>
      <c r="AY606" s="1044"/>
      <c r="AZ606" s="1044"/>
      <c r="BA606" s="1044"/>
      <c r="BB606" s="1044"/>
      <c r="BC606" s="1044"/>
      <c r="BD606" s="1044"/>
      <c r="BE606" s="1044"/>
      <c r="BF606" s="1044"/>
      <c r="BG606" s="1044"/>
      <c r="BH606" s="1044"/>
      <c r="BI606" s="1044"/>
      <c r="BJ606" s="1044"/>
      <c r="BK606" s="1044"/>
      <c r="BL606" s="1044"/>
      <c r="BM606" s="1044"/>
      <c r="BN606" s="1044"/>
      <c r="BO606" s="1044"/>
      <c r="BP606" s="1044"/>
      <c r="BQ606" s="1044"/>
      <c r="BR606" s="1044"/>
      <c r="BS606" s="1044"/>
      <c r="BT606" s="1044"/>
      <c r="BU606" s="1044"/>
      <c r="BV606" s="1044"/>
      <c r="BW606" s="1044">
        <v>50.6</v>
      </c>
      <c r="BX606" s="1044">
        <v>1887</v>
      </c>
      <c r="BY606" s="1054">
        <f t="shared" si="949"/>
        <v>32</v>
      </c>
      <c r="BZ606" s="1054">
        <f t="shared" si="950"/>
        <v>23.3125</v>
      </c>
      <c r="CA606" s="1044">
        <v>1032</v>
      </c>
      <c r="CB606" s="1099">
        <f t="shared" si="894"/>
        <v>62738.671875</v>
      </c>
      <c r="CC606" s="208">
        <f t="shared" si="951"/>
        <v>919.921875</v>
      </c>
      <c r="CD606" s="208">
        <f t="shared" si="952"/>
        <v>38.330078125</v>
      </c>
      <c r="CE606" s="230">
        <f t="shared" si="969"/>
        <v>1238.0152607210439</v>
      </c>
      <c r="CF606" s="1044"/>
      <c r="CG606" s="208">
        <f>CC606/(AVERAGE(BY606,BY607)*AVERAGE((D$556,D$550,D$578,D$604,D$583,D$591,D$598,D$568,D$570,D$563))*0.01)</f>
        <v>957.61052543813355</v>
      </c>
      <c r="CH606" s="855">
        <f t="shared" si="915"/>
        <v>1.2331392426273458</v>
      </c>
      <c r="CI606" s="1044"/>
      <c r="CJ606" s="1044"/>
      <c r="CK606" s="1044"/>
      <c r="CL606" s="1044"/>
      <c r="CM606" s="1044"/>
      <c r="CN606" s="1044"/>
    </row>
    <row r="607" spans="1:92" ht="15">
      <c r="A607" s="1034">
        <f t="shared" si="936"/>
        <v>41762</v>
      </c>
      <c r="B607" s="1035">
        <f t="shared" si="953"/>
        <v>0.33333333333333398</v>
      </c>
      <c r="C607" s="854">
        <f t="shared" si="958"/>
        <v>24</v>
      </c>
      <c r="D607" s="1044"/>
      <c r="E607" s="1044"/>
      <c r="F607" s="1044"/>
      <c r="G607" s="1044"/>
      <c r="H607" s="1044"/>
      <c r="I607" s="1044"/>
      <c r="J607" s="1044"/>
      <c r="K607" s="1044"/>
      <c r="L607" s="1044"/>
      <c r="M607" s="1044">
        <v>50</v>
      </c>
      <c r="N607" s="1044">
        <v>80</v>
      </c>
      <c r="O607" s="1044"/>
      <c r="P607" s="1044">
        <v>1050</v>
      </c>
      <c r="Q607" s="210">
        <f t="shared" ref="Q607" si="970">P607/((N607-M607)*N$4)</f>
        <v>6.9665605095541405</v>
      </c>
      <c r="R607" s="225">
        <f t="shared" ref="R607" si="971">10*Q607/(AVERAGE(D$261,D$262))</f>
        <v>23.144719300844322</v>
      </c>
      <c r="S607" s="1044"/>
      <c r="T607" s="1044"/>
      <c r="U607" s="1044"/>
      <c r="V607" s="1044"/>
      <c r="W607" s="1044"/>
      <c r="X607" s="1044"/>
      <c r="Y607" s="1044"/>
      <c r="Z607" s="1044"/>
      <c r="AA607" s="1044"/>
      <c r="AB607" s="1044"/>
      <c r="AC607" s="1044"/>
      <c r="AD607" s="1044"/>
      <c r="AE607" s="1044"/>
      <c r="AF607" s="1044"/>
      <c r="AG607" s="1044"/>
      <c r="AH607" s="1044"/>
      <c r="AI607" s="1044"/>
      <c r="AJ607" s="1044"/>
      <c r="AK607" s="1044"/>
      <c r="AL607" s="1044">
        <v>35.700000000000003</v>
      </c>
      <c r="AM607" s="1099">
        <v>3076</v>
      </c>
      <c r="AN607" s="208">
        <f t="shared" si="961"/>
        <v>60.480000000000004</v>
      </c>
      <c r="AO607" s="208">
        <f t="shared" si="962"/>
        <v>23.363095238095237</v>
      </c>
      <c r="AP607" s="1099">
        <v>1983</v>
      </c>
      <c r="AQ607" s="1099">
        <f t="shared" si="889"/>
        <v>119004.03750000001</v>
      </c>
      <c r="AR607" s="76">
        <f t="shared" si="947"/>
        <v>1206.9375</v>
      </c>
      <c r="AS607" s="230">
        <f t="shared" si="948"/>
        <v>50.2890625</v>
      </c>
      <c r="AT607" s="208">
        <f t="shared" si="967"/>
        <v>859.40530268042835</v>
      </c>
      <c r="AU607" s="1044"/>
      <c r="AV607" s="230">
        <f t="shared" si="968"/>
        <v>664.75397321419644</v>
      </c>
      <c r="AW607" s="855">
        <f t="shared" si="881"/>
        <v>0.85416666666666663</v>
      </c>
      <c r="AX607" s="1044"/>
      <c r="AY607" s="1044"/>
      <c r="AZ607" s="1044"/>
      <c r="BA607" s="1044"/>
      <c r="BB607" s="1044"/>
      <c r="BC607" s="1044"/>
      <c r="BD607" s="1044"/>
      <c r="BE607" s="1044"/>
      <c r="BF607" s="1044"/>
      <c r="BG607" s="1044"/>
      <c r="BH607" s="1044"/>
      <c r="BI607" s="1044"/>
      <c r="BJ607" s="1044"/>
      <c r="BK607" s="1044"/>
      <c r="BL607" s="1044"/>
      <c r="BM607" s="1044"/>
      <c r="BN607" s="1044"/>
      <c r="BO607" s="1044"/>
      <c r="BP607" s="1044"/>
      <c r="BQ607" s="1044"/>
      <c r="BR607" s="1044"/>
      <c r="BS607" s="1044"/>
      <c r="BT607" s="1044"/>
      <c r="BU607" s="1044"/>
      <c r="BV607" s="1044"/>
      <c r="BW607" s="1044">
        <v>50.6</v>
      </c>
      <c r="BX607" s="1044">
        <v>1903</v>
      </c>
      <c r="BY607" s="1054">
        <f t="shared" si="949"/>
        <v>32</v>
      </c>
      <c r="BZ607" s="1054">
        <f t="shared" si="950"/>
        <v>23.3125</v>
      </c>
      <c r="CA607" s="1044">
        <v>1041</v>
      </c>
      <c r="CB607" s="1099">
        <f t="shared" si="894"/>
        <v>63290.625</v>
      </c>
      <c r="CC607" s="208">
        <f t="shared" si="951"/>
        <v>551.953125</v>
      </c>
      <c r="CD607" s="208">
        <f t="shared" si="952"/>
        <v>22.998046875</v>
      </c>
      <c r="CE607" s="230">
        <f t="shared" si="969"/>
        <v>742.80915643262642</v>
      </c>
      <c r="CF607" s="1044"/>
      <c r="CG607" s="208">
        <f>CC607/(AVERAGE(BY607,BY608)*AVERAGE((D$556,D$550,D$578,D$604,D$583,D$591,D$598,D$568,D$570,D$563))*0.01)</f>
        <v>574.56631526288015</v>
      </c>
      <c r="CH607" s="855">
        <f t="shared" si="915"/>
        <v>0.73988354557640745</v>
      </c>
      <c r="CI607" s="1044"/>
      <c r="CJ607" s="1044"/>
      <c r="CK607" s="1044"/>
      <c r="CL607" s="1044"/>
      <c r="CM607" s="1044"/>
      <c r="CN607" s="1044"/>
    </row>
    <row r="608" spans="1:92">
      <c r="A608" s="1034">
        <f t="shared" si="936"/>
        <v>41763</v>
      </c>
      <c r="B608" s="1035">
        <f t="shared" si="953"/>
        <v>0.33333333333333398</v>
      </c>
      <c r="C608" s="854">
        <f t="shared" si="958"/>
        <v>24</v>
      </c>
      <c r="D608" s="1044"/>
      <c r="E608" s="1044"/>
      <c r="F608" s="1044"/>
      <c r="G608" s="1044"/>
      <c r="H608" s="1044"/>
      <c r="I608" s="1044"/>
      <c r="J608" s="1044"/>
      <c r="K608" s="1044"/>
      <c r="L608" s="1044"/>
      <c r="M608" s="1044"/>
      <c r="N608" s="1044"/>
      <c r="O608" s="1044"/>
      <c r="P608" s="1044"/>
      <c r="Q608" s="1044"/>
      <c r="R608" s="1044"/>
      <c r="S608" s="1044"/>
      <c r="T608" s="1044"/>
      <c r="U608" s="1044"/>
      <c r="V608" s="1044"/>
      <c r="W608" s="1044"/>
      <c r="X608" s="1044"/>
      <c r="Y608" s="1044"/>
      <c r="Z608" s="1044"/>
      <c r="AA608" s="1044"/>
      <c r="AB608" s="1044"/>
      <c r="AC608" s="1044"/>
      <c r="AD608" s="1044"/>
      <c r="AE608" s="1044"/>
      <c r="AF608" s="1044"/>
      <c r="AG608" s="1044"/>
      <c r="AH608" s="1044"/>
      <c r="AI608" s="1044"/>
      <c r="AJ608" s="1044"/>
      <c r="AK608" s="1044"/>
      <c r="AL608" s="1044">
        <v>35.6</v>
      </c>
      <c r="AM608" s="1099">
        <v>3104</v>
      </c>
      <c r="AN608" s="208">
        <f t="shared" si="961"/>
        <v>60.480000000000004</v>
      </c>
      <c r="AO608" s="208">
        <f t="shared" si="962"/>
        <v>23.363095238095237</v>
      </c>
      <c r="AP608" s="1099">
        <v>2003</v>
      </c>
      <c r="AQ608" s="1099">
        <f t="shared" si="889"/>
        <v>120210.97500000001</v>
      </c>
      <c r="AR608" s="76">
        <f t="shared" si="947"/>
        <v>1206.9375</v>
      </c>
      <c r="AS608" s="230">
        <f t="shared" si="948"/>
        <v>50.2890625</v>
      </c>
      <c r="AT608" s="208">
        <f t="shared" si="967"/>
        <v>859.40530268042835</v>
      </c>
      <c r="AU608" s="1044"/>
      <c r="AV608" s="230">
        <f t="shared" si="968"/>
        <v>664.75397321419644</v>
      </c>
      <c r="AW608" s="855">
        <f t="shared" si="881"/>
        <v>0.85416666666666663</v>
      </c>
      <c r="AX608" s="1044"/>
      <c r="AY608" s="1044"/>
      <c r="AZ608" s="1044"/>
      <c r="BA608" s="1044"/>
      <c r="BB608" s="1044"/>
      <c r="BC608" s="1044"/>
      <c r="BD608" s="1044"/>
      <c r="BE608" s="1044"/>
      <c r="BF608" s="1044"/>
      <c r="BG608" s="1044"/>
      <c r="BH608" s="1044"/>
      <c r="BI608" s="1044"/>
      <c r="BJ608" s="1044"/>
      <c r="BK608" s="1044"/>
      <c r="BL608" s="1044"/>
      <c r="BM608" s="1044"/>
      <c r="BN608" s="1044"/>
      <c r="BO608" s="1044"/>
      <c r="BP608" s="1044"/>
      <c r="BQ608" s="1044"/>
      <c r="BR608" s="1044"/>
      <c r="BS608" s="1044"/>
      <c r="BT608" s="1044"/>
      <c r="BU608" s="1044"/>
      <c r="BV608" s="1044"/>
      <c r="BW608" s="1044">
        <v>50.5</v>
      </c>
      <c r="BX608" s="1044">
        <v>1919</v>
      </c>
      <c r="BY608" s="1054">
        <f t="shared" si="949"/>
        <v>32</v>
      </c>
      <c r="BZ608" s="1054">
        <f t="shared" si="950"/>
        <v>23.3125</v>
      </c>
      <c r="CA608" s="1044">
        <v>1051</v>
      </c>
      <c r="CB608" s="1099">
        <f t="shared" si="894"/>
        <v>63903.90625</v>
      </c>
      <c r="CC608" s="208">
        <f t="shared" si="951"/>
        <v>613.28125</v>
      </c>
      <c r="CD608" s="208">
        <f t="shared" si="952"/>
        <v>25.553385416666668</v>
      </c>
      <c r="CE608" s="230">
        <f t="shared" si="969"/>
        <v>825.34350714736263</v>
      </c>
      <c r="CF608" s="1044"/>
      <c r="CG608" s="208">
        <f>CC608/(AVERAGE(BY608,BY609)*AVERAGE((D$556,D$550,D$578,D$604,D$583,D$591,D$598,D$568,D$570,D$563))*0.01)</f>
        <v>638.40701695875566</v>
      </c>
      <c r="CH608" s="855">
        <f t="shared" si="915"/>
        <v>0.82209282841823061</v>
      </c>
      <c r="CI608" s="1044"/>
      <c r="CJ608" s="1044"/>
      <c r="CK608" s="1044"/>
      <c r="CL608" s="1044"/>
      <c r="CM608" s="1044"/>
      <c r="CN608" s="1044"/>
    </row>
    <row r="609" spans="1:92">
      <c r="A609" s="1034">
        <f t="shared" si="936"/>
        <v>41764</v>
      </c>
      <c r="B609" s="1035">
        <f t="shared" si="953"/>
        <v>0.33333333333333398</v>
      </c>
      <c r="C609" s="854">
        <f t="shared" si="958"/>
        <v>24</v>
      </c>
      <c r="D609" s="1044"/>
      <c r="E609" s="1044"/>
      <c r="F609" s="1044"/>
      <c r="G609" s="1044"/>
      <c r="H609" s="1044"/>
      <c r="I609" s="1044"/>
      <c r="J609" s="1044"/>
      <c r="K609" s="1044"/>
      <c r="L609" s="1044"/>
      <c r="M609" s="1044"/>
      <c r="N609" s="1044"/>
      <c r="O609" s="1044"/>
      <c r="P609" s="1044"/>
      <c r="Q609" s="1044"/>
      <c r="R609" s="1044"/>
      <c r="S609" s="1044"/>
      <c r="T609" s="1044"/>
      <c r="U609" s="1044"/>
      <c r="V609" s="1044"/>
      <c r="W609" s="1044"/>
      <c r="X609" s="1044"/>
      <c r="Y609" s="1044"/>
      <c r="Z609" s="1044"/>
      <c r="AA609" s="1044"/>
      <c r="AB609" s="1044"/>
      <c r="AC609" s="1044"/>
      <c r="AD609" s="1044"/>
      <c r="AE609" s="1044"/>
      <c r="AF609" s="1044"/>
      <c r="AG609" s="1044"/>
      <c r="AH609" s="1044"/>
      <c r="AI609" s="1044"/>
      <c r="AJ609" s="1044"/>
      <c r="AK609" s="1044"/>
      <c r="AL609" s="1044">
        <v>35.6</v>
      </c>
      <c r="AM609" s="1099">
        <v>3132</v>
      </c>
      <c r="AN609" s="208">
        <f t="shared" si="961"/>
        <v>60.480000000000004</v>
      </c>
      <c r="AO609" s="208">
        <f t="shared" si="962"/>
        <v>23.363095238095237</v>
      </c>
      <c r="AP609" s="1099">
        <v>2023</v>
      </c>
      <c r="AQ609" s="1099">
        <f t="shared" si="889"/>
        <v>121417.91250000001</v>
      </c>
      <c r="AR609" s="76">
        <f t="shared" si="947"/>
        <v>1206.9375</v>
      </c>
      <c r="AS609" s="230">
        <f t="shared" si="948"/>
        <v>50.2890625</v>
      </c>
      <c r="AT609" s="208">
        <f t="shared" si="967"/>
        <v>1659.5412741415171</v>
      </c>
      <c r="AU609" s="1044"/>
      <c r="AV609" s="230">
        <f t="shared" si="968"/>
        <v>1283.6628448274139</v>
      </c>
      <c r="AW609" s="855">
        <f t="shared" si="881"/>
        <v>0.85416666666666663</v>
      </c>
      <c r="AX609" s="1044"/>
      <c r="AY609" s="1044"/>
      <c r="AZ609" s="1044"/>
      <c r="BA609" s="1044"/>
      <c r="BB609" s="1044"/>
      <c r="BC609" s="1044"/>
      <c r="BD609" s="1044"/>
      <c r="BE609" s="1044"/>
      <c r="BF609" s="1044"/>
      <c r="BG609" s="1044"/>
      <c r="BH609" s="1044"/>
      <c r="BI609" s="1044"/>
      <c r="BJ609" s="1044"/>
      <c r="BK609" s="1044"/>
      <c r="BL609" s="1044"/>
      <c r="BM609" s="1044"/>
      <c r="BN609" s="1044"/>
      <c r="BO609" s="1044"/>
      <c r="BP609" s="1044"/>
      <c r="BQ609" s="1044"/>
      <c r="BR609" s="1044"/>
      <c r="BS609" s="1044"/>
      <c r="BT609" s="1044"/>
      <c r="BU609" s="1044"/>
      <c r="BV609" s="1044"/>
      <c r="BW609" s="1044">
        <v>50.6</v>
      </c>
      <c r="BX609" s="1044">
        <v>1935</v>
      </c>
      <c r="BY609" s="1054">
        <f t="shared" si="949"/>
        <v>32</v>
      </c>
      <c r="BZ609" s="1054">
        <f t="shared" si="950"/>
        <v>23.3125</v>
      </c>
      <c r="CA609" s="1044">
        <v>1061</v>
      </c>
      <c r="CB609" s="1099">
        <f t="shared" si="894"/>
        <v>64517.1875</v>
      </c>
      <c r="CC609" s="208">
        <f t="shared" si="951"/>
        <v>613.28125</v>
      </c>
      <c r="CD609" s="208">
        <f t="shared" si="952"/>
        <v>25.553385416666668</v>
      </c>
      <c r="CE609" s="230">
        <f t="shared" si="969"/>
        <v>825.34350714736263</v>
      </c>
      <c r="CF609" s="1044"/>
      <c r="CG609" s="208">
        <f>CC609/(AVERAGE(BY609,BY610)*AVERAGE((D$556,D$550,D$578,D$604,D$583,D$591,D$598,D$568,D$570,D$563))*0.01)</f>
        <v>638.40701695875566</v>
      </c>
      <c r="CH609" s="855">
        <f t="shared" si="915"/>
        <v>0.82209282841823061</v>
      </c>
      <c r="CI609" s="1044"/>
      <c r="CJ609" s="1044"/>
      <c r="CK609" s="1044"/>
      <c r="CL609" s="1044"/>
      <c r="CM609" s="1044"/>
      <c r="CN609" s="1044"/>
    </row>
    <row r="610" spans="1:92" ht="15">
      <c r="A610" s="1034">
        <f t="shared" si="936"/>
        <v>41765</v>
      </c>
      <c r="B610" s="1035">
        <f t="shared" si="953"/>
        <v>0.33333333333333398</v>
      </c>
      <c r="C610" s="854">
        <f t="shared" si="958"/>
        <v>24</v>
      </c>
      <c r="D610" s="1044"/>
      <c r="E610" s="1044"/>
      <c r="F610" s="1044"/>
      <c r="G610" s="1044"/>
      <c r="H610" s="1044"/>
      <c r="I610" s="1044"/>
      <c r="J610" s="1044"/>
      <c r="K610" s="1044"/>
      <c r="L610" s="1044"/>
      <c r="M610" s="1044">
        <v>50</v>
      </c>
      <c r="N610" s="1044">
        <v>80</v>
      </c>
      <c r="O610" s="1044"/>
      <c r="P610" s="1044">
        <v>700</v>
      </c>
      <c r="Q610" s="210">
        <f t="shared" ref="Q610" si="972">P610/((N610-M610)*N$4)</f>
        <v>4.6443736730360934</v>
      </c>
      <c r="R610" s="225">
        <f t="shared" ref="R610" si="973">10*Q610/(AVERAGE(D$261,D$262))</f>
        <v>15.429812867229547</v>
      </c>
      <c r="S610" s="1044"/>
      <c r="T610" s="1044"/>
      <c r="U610" s="1044"/>
      <c r="V610" s="1044"/>
      <c r="W610" s="1044"/>
      <c r="X610" s="1044"/>
      <c r="Y610" s="1044"/>
      <c r="Z610" s="1044"/>
      <c r="AA610" s="1044"/>
      <c r="AB610" s="1044"/>
      <c r="AC610" s="1044"/>
      <c r="AD610" s="1044"/>
      <c r="AE610" s="1044"/>
      <c r="AF610" s="1044"/>
      <c r="AG610" s="1044"/>
      <c r="AH610" s="1044"/>
      <c r="AI610" s="1044"/>
      <c r="AJ610" s="1044"/>
      <c r="AK610" s="1044"/>
      <c r="AL610" s="1044">
        <v>35.700000000000003</v>
      </c>
      <c r="AM610" s="1099">
        <v>3133</v>
      </c>
      <c r="AN610" s="208">
        <f t="shared" si="961"/>
        <v>2.16</v>
      </c>
      <c r="AO610" s="208">
        <f t="shared" si="962"/>
        <v>654.16666666666663</v>
      </c>
      <c r="AP610" s="1099">
        <v>2038</v>
      </c>
      <c r="AQ610" s="1099">
        <f t="shared" si="889"/>
        <v>122323.11562500001</v>
      </c>
      <c r="AR610" s="76">
        <f t="shared" si="947"/>
        <v>905.203125</v>
      </c>
      <c r="AS610" s="230">
        <f t="shared" si="948"/>
        <v>37.716796875</v>
      </c>
      <c r="AT610" s="208">
        <f t="shared" si="967"/>
        <v>767.97920665059553</v>
      </c>
      <c r="AU610" s="1044"/>
      <c r="AV610" s="230">
        <f t="shared" si="968"/>
        <v>594.03546542545212</v>
      </c>
      <c r="AW610" s="855">
        <f t="shared" si="881"/>
        <v>0.640625</v>
      </c>
      <c r="AX610" s="1044"/>
      <c r="AY610" s="1044"/>
      <c r="AZ610" s="1044"/>
      <c r="BA610" s="1044"/>
      <c r="BB610" s="1044"/>
      <c r="BC610" s="1044"/>
      <c r="BD610" s="1044"/>
      <c r="BE610" s="1044"/>
      <c r="BF610" s="1044"/>
      <c r="BG610" s="1044"/>
      <c r="BH610" s="1044"/>
      <c r="BI610" s="1044"/>
      <c r="BJ610" s="1044"/>
      <c r="BK610" s="1044"/>
      <c r="BL610" s="1044"/>
      <c r="BM610" s="1044"/>
      <c r="BN610" s="1044"/>
      <c r="BO610" s="1044"/>
      <c r="BP610" s="1044"/>
      <c r="BQ610" s="1044"/>
      <c r="BR610" s="1044"/>
      <c r="BS610" s="1044"/>
      <c r="BT610" s="1044"/>
      <c r="BU610" s="1044"/>
      <c r="BV610" s="1044"/>
      <c r="BW610" s="1044">
        <v>50.5</v>
      </c>
      <c r="BX610" s="1044">
        <v>1951</v>
      </c>
      <c r="BY610" s="1054">
        <f t="shared" si="949"/>
        <v>32</v>
      </c>
      <c r="BZ610" s="1054">
        <f t="shared" si="950"/>
        <v>23.3125</v>
      </c>
      <c r="CA610" s="1044">
        <v>1072</v>
      </c>
      <c r="CB610" s="1099">
        <f t="shared" si="894"/>
        <v>65191.796875</v>
      </c>
      <c r="CC610" s="208">
        <f t="shared" si="951"/>
        <v>674.609375</v>
      </c>
      <c r="CD610" s="208">
        <f t="shared" si="952"/>
        <v>28.108723958333332</v>
      </c>
      <c r="CE610" s="230">
        <f t="shared" si="969"/>
        <v>907.87785786209895</v>
      </c>
      <c r="CF610" s="1044"/>
      <c r="CG610" s="208">
        <f>CC610/(AVERAGE(BY610,BY611)*AVERAGE((D$556,D$550,D$578,D$604,D$583,D$591,D$598,D$568,D$570,D$563))*0.01)</f>
        <v>702.24771865463129</v>
      </c>
      <c r="CH610" s="855">
        <f t="shared" si="915"/>
        <v>0.90430211126005366</v>
      </c>
      <c r="CI610" s="1044"/>
      <c r="CJ610" s="1044"/>
      <c r="CK610" s="1044"/>
      <c r="CL610" s="1044"/>
      <c r="CM610" s="1044"/>
      <c r="CN610" s="1044"/>
    </row>
    <row r="611" spans="1:92">
      <c r="A611" s="1034">
        <f t="shared" si="936"/>
        <v>41766</v>
      </c>
      <c r="B611" s="1035">
        <f t="shared" si="953"/>
        <v>0.33333333333333398</v>
      </c>
      <c r="C611" s="854">
        <f t="shared" si="958"/>
        <v>24</v>
      </c>
      <c r="D611" s="1044"/>
      <c r="E611" s="1044"/>
      <c r="F611" s="1044"/>
      <c r="G611" s="1044"/>
      <c r="H611" s="1044"/>
      <c r="I611" s="1044"/>
      <c r="J611" s="1044"/>
      <c r="K611" s="1044"/>
      <c r="L611" s="1044"/>
      <c r="M611" s="1044"/>
      <c r="N611" s="1044"/>
      <c r="O611" s="1044"/>
      <c r="P611" s="1044"/>
      <c r="Q611" s="1044"/>
      <c r="R611" s="1044"/>
      <c r="S611" s="1044"/>
      <c r="T611" s="1044"/>
      <c r="U611" s="1044"/>
      <c r="V611" s="1044"/>
      <c r="W611" s="1044"/>
      <c r="X611" s="1044"/>
      <c r="Y611" s="1044"/>
      <c r="Z611" s="1044"/>
      <c r="AA611" s="1044"/>
      <c r="AB611" s="1044"/>
      <c r="AC611" s="1044"/>
      <c r="AD611" s="1044"/>
      <c r="AE611" s="1044"/>
      <c r="AF611" s="1044"/>
      <c r="AG611" s="1044"/>
      <c r="AH611" s="1044"/>
      <c r="AI611" s="1044"/>
      <c r="AJ611" s="1044"/>
      <c r="AK611" s="1044"/>
      <c r="AL611" s="1044">
        <v>35.5</v>
      </c>
      <c r="AM611" s="1099">
        <v>3179</v>
      </c>
      <c r="AN611" s="208">
        <f t="shared" si="961"/>
        <v>99.360000000000014</v>
      </c>
      <c r="AO611" s="208">
        <f t="shared" si="962"/>
        <v>14.221014492753621</v>
      </c>
      <c r="AP611" s="1099">
        <v>2059</v>
      </c>
      <c r="AQ611" s="1099">
        <f t="shared" si="889"/>
        <v>123590.40000000001</v>
      </c>
      <c r="AR611" s="76">
        <f t="shared" si="947"/>
        <v>1267.2843750000029</v>
      </c>
      <c r="AS611" s="230">
        <f t="shared" si="948"/>
        <v>52.803515625000124</v>
      </c>
      <c r="AT611" s="208">
        <f t="shared" si="967"/>
        <v>802.11161583506828</v>
      </c>
      <c r="AU611" s="1044"/>
      <c r="AV611" s="230">
        <f t="shared" si="968"/>
        <v>620.43704166658472</v>
      </c>
      <c r="AW611" s="855">
        <f t="shared" si="881"/>
        <v>0.89687500000000209</v>
      </c>
      <c r="AX611" s="1044"/>
      <c r="AY611" s="1044"/>
      <c r="AZ611" s="1044"/>
      <c r="BA611" s="1044"/>
      <c r="BB611" s="1044"/>
      <c r="BC611" s="1044"/>
      <c r="BD611" s="1044"/>
      <c r="BE611" s="1044"/>
      <c r="BF611" s="1044"/>
      <c r="BG611" s="1044"/>
      <c r="BH611" s="1044"/>
      <c r="BI611" s="1044"/>
      <c r="BJ611" s="1044"/>
      <c r="BK611" s="1044"/>
      <c r="BL611" s="1044"/>
      <c r="BM611" s="1044"/>
      <c r="BN611" s="1044"/>
      <c r="BO611" s="1044"/>
      <c r="BP611" s="1044"/>
      <c r="BQ611" s="1044"/>
      <c r="BR611" s="1044"/>
      <c r="BS611" s="1044"/>
      <c r="BT611" s="1044"/>
      <c r="BU611" s="1044"/>
      <c r="BV611" s="1044"/>
      <c r="BW611" s="1044">
        <v>50.5</v>
      </c>
      <c r="BX611" s="1044">
        <v>1967</v>
      </c>
      <c r="BY611" s="1054">
        <f t="shared" si="949"/>
        <v>32</v>
      </c>
      <c r="BZ611" s="1054">
        <f t="shared" si="950"/>
        <v>23.3125</v>
      </c>
      <c r="CA611" s="1044">
        <v>1083</v>
      </c>
      <c r="CB611" s="1099">
        <f t="shared" si="894"/>
        <v>65866.40625</v>
      </c>
      <c r="CC611" s="208">
        <f t="shared" si="951"/>
        <v>674.609375</v>
      </c>
      <c r="CD611" s="208">
        <f t="shared" si="952"/>
        <v>28.108723958333332</v>
      </c>
      <c r="CE611" s="230">
        <f t="shared" si="969"/>
        <v>907.87785786209895</v>
      </c>
      <c r="CF611" s="1044"/>
      <c r="CG611" s="208">
        <f>CC611/(AVERAGE(BY611,BY612)*AVERAGE((D$556,D$550,D$578,D$604,D$583,D$591,D$598,D$568,D$570,D$563))*0.01)</f>
        <v>702.24771865463129</v>
      </c>
      <c r="CH611" s="855">
        <f t="shared" si="915"/>
        <v>0.90430211126005366</v>
      </c>
      <c r="CI611" s="1044"/>
      <c r="CJ611" s="1044"/>
      <c r="CK611" s="1044"/>
      <c r="CL611" s="1044"/>
      <c r="CM611" s="1044"/>
      <c r="CN611" s="1044"/>
    </row>
    <row r="612" spans="1:92" s="337" customFormat="1">
      <c r="A612" s="1036">
        <f t="shared" si="936"/>
        <v>41767</v>
      </c>
      <c r="B612" s="1037">
        <f t="shared" si="953"/>
        <v>0.33333333333333398</v>
      </c>
      <c r="C612" s="847">
        <f t="shared" si="958"/>
        <v>24</v>
      </c>
      <c r="D612" s="1023">
        <v>3.3</v>
      </c>
      <c r="E612" s="1023">
        <v>75</v>
      </c>
      <c r="F612" s="1023">
        <v>39500</v>
      </c>
      <c r="G612" s="1023"/>
      <c r="H612" s="1023"/>
      <c r="I612" s="1023">
        <v>7659</v>
      </c>
      <c r="J612" s="1023"/>
      <c r="K612" s="1023"/>
      <c r="L612" s="1023"/>
      <c r="M612" s="1023">
        <v>50</v>
      </c>
      <c r="N612" s="1023">
        <v>90</v>
      </c>
      <c r="O612" s="1023"/>
      <c r="P612" s="1023"/>
      <c r="Q612" s="1023"/>
      <c r="R612" s="1023"/>
      <c r="S612" s="1023"/>
      <c r="T612" s="1023"/>
      <c r="U612" s="1023"/>
      <c r="V612" s="1023">
        <v>2.1</v>
      </c>
      <c r="W612" s="1023">
        <v>67.3</v>
      </c>
      <c r="X612" s="1023">
        <v>23500</v>
      </c>
      <c r="Y612" s="1023"/>
      <c r="Z612" s="1023">
        <v>1213</v>
      </c>
      <c r="AA612" s="1023"/>
      <c r="AB612" s="1023"/>
      <c r="AC612" s="1023"/>
      <c r="AD612" s="1021">
        <f>D604*(100-E604)/(100-W612)</f>
        <v>2.5045871559633022</v>
      </c>
      <c r="AE612" s="1055">
        <f>D604-V612</f>
        <v>1.7999999999999998</v>
      </c>
      <c r="AF612" s="847">
        <f>100*(AVERAGE(D$556,D$612,D$578,D$604,D$583,D$591,D$598,D$568,D$570,D$563)-V612)/AVERAGE(D$556,D$612,D$578,D$604,D$583,D$591,D$598,D$568,D$570,D$563)</f>
        <v>31.76179907636763</v>
      </c>
      <c r="AG612" s="847">
        <f>100*(1-((100-AVERAGE(E$556,E$612,E$578,E$604,E$583,E$591,E$598,E$568,E$570,E$563))/(100-W612)))</f>
        <v>31.239441276138567</v>
      </c>
      <c r="AH612" s="1055">
        <f>E604-W612</f>
        <v>11.700000000000003</v>
      </c>
      <c r="AI612" s="847">
        <f>100*(1-((V612*W612)/(AVERAGE(D$556,D$612,D$578,D$604,D$583,D$591,D$598,D$568,D$570,D$563)*AVERAGE(E$556,E$612,E$578,E$604,E$583,E$591,E$598,E$568,E$570,E$563))))</f>
        <v>40.754520948982019</v>
      </c>
      <c r="AJ612" s="847">
        <f>100*100*((AVERAGE(E$556,E$612,E$578,E$604,E$583,E$591,E$598,E$568,E$570,E$563)-W612)/((100-W612)*AVERAGE(E$556,E$612,E$578,E$604,E$583,E$591,E$598,E$568,E$570,E$563)))</f>
        <v>40.301001693026826</v>
      </c>
      <c r="AK612" s="1023"/>
      <c r="AL612" s="1023">
        <v>35.6</v>
      </c>
      <c r="AM612" s="1100">
        <v>3196</v>
      </c>
      <c r="AN612" s="334">
        <f t="shared" si="961"/>
        <v>36.72</v>
      </c>
      <c r="AO612" s="334">
        <f t="shared" si="962"/>
        <v>38.480392156862749</v>
      </c>
      <c r="AP612" s="1100">
        <v>2075</v>
      </c>
      <c r="AQ612" s="1100">
        <f t="shared" si="889"/>
        <v>124555.95000000001</v>
      </c>
      <c r="AR612" s="348">
        <f t="shared" si="947"/>
        <v>965.55000000000291</v>
      </c>
      <c r="AS612" s="512">
        <f t="shared" si="948"/>
        <v>40.231250000000124</v>
      </c>
      <c r="AT612" s="208">
        <f>AR612/(AVERAGE(AN612,AN613)*(AVERAGE(D$556,D$612,D$578,D$604,D$583,D$591,D$598,D$568,D$570,D$563))*AVERAGE(E$556,E$612,E$578,E$604,E$583,E$591,E$598,E$568,E$570,E$563)*0.0001)</f>
        <v>871.57228882693562</v>
      </c>
      <c r="AU612" s="597">
        <f>(AQ612-AQ606)/(AVERAGE(AN606:AN612)*((AVERAGE(D$556,D$612,D$578,D$604,D$583,D$591,D$598,D$568,D$570,D$563)*AVERAGE(E$556,E$612,E$578,E$604,E$583,E$591,E$598,E$568,E$570,E$563))-(V612*W612))*0.0001*(SUM(C606:C612)/24))</f>
        <v>1828.7378477238435</v>
      </c>
      <c r="AV612" s="230">
        <f>AR612/(AVERAGE(AN613,AN612)*AVERAGE(D$556,D$612,D$578,D$604,D$583,D$591,D$598,D$568,D$570,D$563)*0.01)</f>
        <v>675.60185084505792</v>
      </c>
      <c r="AW612" s="848">
        <f t="shared" si="881"/>
        <v>0.68333333333333535</v>
      </c>
      <c r="AX612" s="1023"/>
      <c r="AY612" s="1023"/>
      <c r="AZ612" s="1023"/>
      <c r="BA612" s="1023"/>
      <c r="BB612" s="1023"/>
      <c r="BC612" s="1023"/>
      <c r="BD612" s="1023"/>
      <c r="BE612" s="1023"/>
      <c r="BF612" s="1023"/>
      <c r="BG612" s="1023">
        <v>2.1</v>
      </c>
      <c r="BH612" s="1023">
        <v>66.099999999999994</v>
      </c>
      <c r="BI612" s="1023">
        <v>19900</v>
      </c>
      <c r="BJ612" s="1023"/>
      <c r="BK612" s="1023">
        <v>2758</v>
      </c>
      <c r="BL612" s="1023"/>
      <c r="BM612" s="1023"/>
      <c r="BN612" s="1023"/>
      <c r="BO612" s="847">
        <f>D604*(100-E604)/(100-BH612)</f>
        <v>2.4159292035398225</v>
      </c>
      <c r="BP612" s="1055">
        <f>D604-BG612</f>
        <v>1.7999999999999998</v>
      </c>
      <c r="BQ612" s="1056">
        <f>100*(AVERAGE(D$556,D$612,D$578,D$604,D$583,D$591,D$598,D$568,D$570,D$563)-BG612)/AVERAGE(D$556,D$612,D$578,D$604,D$583,D$591,D$598,D$568,D$570,D$563)</f>
        <v>31.76179907636763</v>
      </c>
      <c r="BR612" s="1056">
        <f>100*(1-((100-AVERAGE(E$556,E$612,E$578,E$604,E$583,E$591,E$598,E$568,E$570,E$563))/(100-BH612)))</f>
        <v>33.67344335485933</v>
      </c>
      <c r="BS612" s="1055">
        <f>E604-BH612</f>
        <v>12.900000000000006</v>
      </c>
      <c r="BT612" s="1055">
        <f>100*(1-((BG612*BH612)/(AVERAGE(D$556,D$612,D$578,D$604,D$583,D$591,D$598,D$568,D$570,D$563)*AVERAGE(E$556,E$612,E$578,E$604,E$583,E$591,E$598,E$568,E$570,E$563))))</f>
        <v>41.810903933546982</v>
      </c>
      <c r="BU612" s="847">
        <f>100*100*((AVERAGE(E$556,E$612,E$578,E$604,E$583,E$591,E$598,E$568,E$570,E$563)-BH612)/((100-BH612)*AVERAGE(E$556,E$612,E$578,E$604,E$583,E$591,E$598,E$568,E$570,E$563)))</f>
        <v>43.441029743729572</v>
      </c>
      <c r="BV612" s="1023"/>
      <c r="BW612" s="1023">
        <v>50.6</v>
      </c>
      <c r="BX612" s="1023">
        <v>1983</v>
      </c>
      <c r="BY612" s="1056">
        <f t="shared" si="949"/>
        <v>32</v>
      </c>
      <c r="BZ612" s="1056">
        <f t="shared" si="950"/>
        <v>23.3125</v>
      </c>
      <c r="CA612" s="1023">
        <v>1091</v>
      </c>
      <c r="CB612" s="1100">
        <f t="shared" si="894"/>
        <v>66357.03125</v>
      </c>
      <c r="CC612" s="334">
        <f t="shared" si="951"/>
        <v>490.625</v>
      </c>
      <c r="CD612" s="334">
        <f t="shared" si="952"/>
        <v>20.442708333333332</v>
      </c>
      <c r="CE612" s="230">
        <f>CC612/(AVERAGE(BY613,BY612)*(AVERAGE(D$556,D$612,D$578,D$604,D$583,D$591,D$598,D$568,D$570,D$563))*AVERAGE(E$556,E$612,E$578,E$604,E$583,E$591,E$598,E$568,E$570,E$563)*0.0001)</f>
        <v>642.71813219516582</v>
      </c>
      <c r="CF612" s="334">
        <f>(CB612-CB606)/(AVERAGE(BY606:BY612)*((AVERAGE(D$556,D$612,D$578,D$604,D$583,D$591,D$598,D$568,D$570,D$563)*AVERAGE(E$556,E$612,E$578,E$604,E$583,E$591,E$598,E$568,E$570,E$563))-(BG612*BH612))*0.0001*(SUM(C606:C612)/24))</f>
        <v>1619.5523105213479</v>
      </c>
      <c r="CG612" s="208">
        <f>CC612/(AVERAGE(BY612,BY613)*AVERAGE((D$556,D$612,D$578,D$604,D$583,D$591,D$598,D$568,D$570,D$563))*0.01)</f>
        <v>498.20487095471918</v>
      </c>
      <c r="CH612" s="848">
        <f t="shared" si="915"/>
        <v>0.6576742627345844</v>
      </c>
      <c r="CI612" s="1023"/>
      <c r="CJ612" s="1023"/>
      <c r="CK612" s="1023"/>
      <c r="CL612" s="1023"/>
      <c r="CM612" s="1023"/>
      <c r="CN612" s="1023"/>
    </row>
    <row r="613" spans="1:92">
      <c r="A613" s="1034">
        <f t="shared" si="936"/>
        <v>41768</v>
      </c>
      <c r="B613" s="1035">
        <f t="shared" si="953"/>
        <v>0.33333333333333398</v>
      </c>
      <c r="C613" s="854">
        <f t="shared" si="958"/>
        <v>24</v>
      </c>
      <c r="D613" s="1044"/>
      <c r="E613" s="1044"/>
      <c r="F613" s="1044"/>
      <c r="G613" s="1044"/>
      <c r="H613" s="1044"/>
      <c r="I613" s="1044"/>
      <c r="J613" s="1044"/>
      <c r="K613" s="1044"/>
      <c r="L613" s="1044"/>
      <c r="M613" s="1044"/>
      <c r="N613" s="1044"/>
      <c r="O613" s="1044"/>
      <c r="P613" s="1044"/>
      <c r="Q613" s="1044"/>
      <c r="R613" s="1044"/>
      <c r="S613" s="1044"/>
      <c r="T613" s="1044"/>
      <c r="U613" s="1044"/>
      <c r="V613" s="1044"/>
      <c r="W613" s="1044"/>
      <c r="X613" s="1044"/>
      <c r="Y613" s="1044"/>
      <c r="Z613" s="1044"/>
      <c r="AA613" s="1044"/>
      <c r="AB613" s="1044"/>
      <c r="AC613" s="1044"/>
      <c r="AD613" s="1044"/>
      <c r="AE613" s="1044"/>
      <c r="AF613" s="1044"/>
      <c r="AG613" s="1044"/>
      <c r="AH613" s="1044"/>
      <c r="AI613" s="1044"/>
      <c r="AJ613" s="1044"/>
      <c r="AK613" s="1044"/>
      <c r="AL613" s="1044">
        <v>35.700000000000003</v>
      </c>
      <c r="AM613" s="1099">
        <v>3222</v>
      </c>
      <c r="AN613" s="208">
        <f t="shared" si="961"/>
        <v>56.160000000000004</v>
      </c>
      <c r="AO613" s="208">
        <f t="shared" si="962"/>
        <v>25.160256410256409</v>
      </c>
      <c r="AP613" s="1099">
        <v>2088</v>
      </c>
      <c r="AQ613" s="1099">
        <f t="shared" si="889"/>
        <v>125340.45937500001</v>
      </c>
      <c r="AR613" s="76">
        <f t="shared" si="947"/>
        <v>784.50937499999418</v>
      </c>
      <c r="AS613" s="230">
        <f t="shared" si="948"/>
        <v>32.68789062499976</v>
      </c>
      <c r="AT613" s="208">
        <f t="shared" ref="AT613:AT614" si="974">AR613/(AVERAGE(AN613,AN614)*(AVERAGE(D$556,D$612,D$578,D$604,D$583,D$591,D$598,D$568,D$570,D$563))*AVERAGE(E$556,E$612,E$578,E$604,E$583,E$591,E$598,E$568,E$570,E$563)*0.0001)</f>
        <v>468.47010524447302</v>
      </c>
      <c r="AU613" s="1044"/>
      <c r="AV613" s="230">
        <f t="shared" ref="AV613:AV614" si="975">AR613/(AVERAGE(AN614,AN613)*AVERAGE(D$556,D$612,D$578,D$604,D$583,D$591,D$598,D$568,D$570,D$563)*0.01)</f>
        <v>363.13599482921484</v>
      </c>
      <c r="AW613" s="855">
        <f t="shared" si="881"/>
        <v>0.5552083333333292</v>
      </c>
      <c r="AX613" s="1044"/>
      <c r="AY613" s="1044"/>
      <c r="AZ613" s="1044"/>
      <c r="BA613" s="1044"/>
      <c r="BB613" s="1044"/>
      <c r="BC613" s="1044"/>
      <c r="BD613" s="1044"/>
      <c r="BE613" s="1044"/>
      <c r="BF613" s="1044"/>
      <c r="BG613" s="1044"/>
      <c r="BH613" s="1044"/>
      <c r="BI613" s="1044"/>
      <c r="BJ613" s="1044"/>
      <c r="BK613" s="1044"/>
      <c r="BL613" s="1044"/>
      <c r="BM613" s="1044"/>
      <c r="BN613" s="1044"/>
      <c r="BO613" s="1044"/>
      <c r="BP613" s="1044"/>
      <c r="BQ613" s="1044"/>
      <c r="BR613" s="1044"/>
      <c r="BS613" s="1044"/>
      <c r="BT613" s="1044"/>
      <c r="BU613" s="1044"/>
      <c r="BV613" s="1044"/>
      <c r="BW613" s="1044">
        <v>50.7</v>
      </c>
      <c r="BX613" s="1044">
        <v>1999</v>
      </c>
      <c r="BY613" s="1054">
        <f t="shared" si="949"/>
        <v>32</v>
      </c>
      <c r="BZ613" s="1054">
        <f t="shared" si="950"/>
        <v>23.3125</v>
      </c>
      <c r="CA613" s="1044">
        <v>1102</v>
      </c>
      <c r="CB613" s="1099">
        <f t="shared" si="894"/>
        <v>67031.640625</v>
      </c>
      <c r="CC613" s="208">
        <f t="shared" si="951"/>
        <v>674.609375</v>
      </c>
      <c r="CD613" s="208">
        <f t="shared" si="952"/>
        <v>28.108723958333332</v>
      </c>
      <c r="CE613" s="230">
        <f t="shared" ref="CE613:CE614" si="976">CC613/(AVERAGE(BY614,BY613)*(AVERAGE(D$556,D$612,D$578,D$604,D$583,D$591,D$598,D$568,D$570,D$563))*AVERAGE(E$556,E$612,E$578,E$604,E$583,E$591,E$598,E$568,E$570,E$563)*0.0001)</f>
        <v>883.73743176835296</v>
      </c>
      <c r="CF613" s="1044"/>
      <c r="CG613" s="208">
        <f>CC613/(AVERAGE(BY613,BY614)*AVERAGE((D$556,D$612,D$578,D$604,D$583,D$591,D$598,D$568,D$570,D$563))*0.01)</f>
        <v>685.03169756273883</v>
      </c>
      <c r="CH613" s="855">
        <f t="shared" si="915"/>
        <v>0.90430211126005366</v>
      </c>
      <c r="CI613" s="1044"/>
      <c r="CJ613" s="1044"/>
      <c r="CK613" s="1044"/>
      <c r="CL613" s="1044"/>
      <c r="CM613" s="1044"/>
      <c r="CN613" s="1044"/>
    </row>
    <row r="614" spans="1:92">
      <c r="A614" s="1034">
        <f t="shared" si="936"/>
        <v>41769</v>
      </c>
      <c r="B614" s="1035">
        <f t="shared" si="953"/>
        <v>0.33333333333333398</v>
      </c>
      <c r="C614" s="854">
        <f t="shared" si="958"/>
        <v>24</v>
      </c>
      <c r="D614" s="1044"/>
      <c r="E614" s="1044"/>
      <c r="F614" s="1044"/>
      <c r="G614" s="1044"/>
      <c r="H614" s="1044"/>
      <c r="I614" s="1044"/>
      <c r="J614" s="1044"/>
      <c r="K614" s="1044"/>
      <c r="L614" s="1044"/>
      <c r="M614" s="1044">
        <v>55</v>
      </c>
      <c r="N614" s="1044">
        <v>85</v>
      </c>
      <c r="O614" s="1044"/>
      <c r="P614" s="1044"/>
      <c r="Q614" s="1044"/>
      <c r="R614" s="1044"/>
      <c r="S614" s="1044"/>
      <c r="T614" s="1044"/>
      <c r="U614" s="1044"/>
      <c r="V614" s="1044"/>
      <c r="W614" s="1044"/>
      <c r="X614" s="1044"/>
      <c r="Y614" s="1044"/>
      <c r="Z614" s="1044"/>
      <c r="AA614" s="1044"/>
      <c r="AB614" s="1044"/>
      <c r="AC614" s="1044"/>
      <c r="AD614" s="1044"/>
      <c r="AE614" s="1044"/>
      <c r="AF614" s="1044"/>
      <c r="AG614" s="1044"/>
      <c r="AH614" s="1044"/>
      <c r="AI614" s="1044"/>
      <c r="AJ614" s="1044"/>
      <c r="AK614" s="1044"/>
      <c r="AL614" s="1044">
        <v>35.700000000000003</v>
      </c>
      <c r="AM614" s="1099">
        <v>3261</v>
      </c>
      <c r="AN614" s="208">
        <f t="shared" si="961"/>
        <v>84.240000000000009</v>
      </c>
      <c r="AO614" s="208">
        <f t="shared" si="962"/>
        <v>16.773504273504273</v>
      </c>
      <c r="AP614" s="1099">
        <v>2108</v>
      </c>
      <c r="AQ614" s="1099">
        <f t="shared" si="889"/>
        <v>126547.39687500001</v>
      </c>
      <c r="AR614" s="76">
        <f t="shared" si="947"/>
        <v>1206.9375</v>
      </c>
      <c r="AS614" s="230">
        <f t="shared" si="948"/>
        <v>50.2890625</v>
      </c>
      <c r="AT614" s="208">
        <f t="shared" si="974"/>
        <v>767.98377908930559</v>
      </c>
      <c r="AU614" s="1044"/>
      <c r="AV614" s="230">
        <f t="shared" si="975"/>
        <v>595.30490955609423</v>
      </c>
      <c r="AW614" s="855">
        <f t="shared" si="881"/>
        <v>0.85416666666666663</v>
      </c>
      <c r="AX614" s="1044"/>
      <c r="AY614" s="1044"/>
      <c r="AZ614" s="1044"/>
      <c r="BA614" s="1044"/>
      <c r="BB614" s="1044"/>
      <c r="BC614" s="1044"/>
      <c r="BD614" s="1044"/>
      <c r="BE614" s="1044"/>
      <c r="BF614" s="1044"/>
      <c r="BG614" s="1044"/>
      <c r="BH614" s="1044"/>
      <c r="BI614" s="1044"/>
      <c r="BJ614" s="1044"/>
      <c r="BK614" s="1044"/>
      <c r="BL614" s="1044"/>
      <c r="BM614" s="1044"/>
      <c r="BN614" s="1044"/>
      <c r="BO614" s="1044"/>
      <c r="BP614" s="1044"/>
      <c r="BQ614" s="1044"/>
      <c r="BR614" s="1044"/>
      <c r="BS614" s="1044"/>
      <c r="BT614" s="1044"/>
      <c r="BU614" s="1044"/>
      <c r="BV614" s="1044"/>
      <c r="BW614" s="1044">
        <v>50.6</v>
      </c>
      <c r="BX614" s="1044">
        <v>2015</v>
      </c>
      <c r="BY614" s="1054">
        <f t="shared" si="949"/>
        <v>32</v>
      </c>
      <c r="BZ614" s="1054">
        <f t="shared" si="950"/>
        <v>23.3125</v>
      </c>
      <c r="CA614" s="1044">
        <v>1111</v>
      </c>
      <c r="CB614" s="1099">
        <f t="shared" si="894"/>
        <v>67583.59375</v>
      </c>
      <c r="CC614" s="208">
        <f t="shared" si="951"/>
        <v>551.953125</v>
      </c>
      <c r="CD614" s="208">
        <f t="shared" si="952"/>
        <v>22.998046875</v>
      </c>
      <c r="CE614" s="230">
        <f t="shared" si="976"/>
        <v>723.05789871956154</v>
      </c>
      <c r="CF614" s="1044"/>
      <c r="CG614" s="208">
        <f>CC614/(AVERAGE(BY614,BY615)*AVERAGE((D$556,D$612,D$578,D$604,D$583,D$591,D$598,D$568,D$570,D$563))*0.01)</f>
        <v>560.4804798240591</v>
      </c>
      <c r="CH614" s="855">
        <f t="shared" si="915"/>
        <v>0.73988354557640745</v>
      </c>
      <c r="CI614" s="1044"/>
      <c r="CJ614" s="1044"/>
      <c r="CK614" s="1044"/>
      <c r="CL614" s="1044"/>
      <c r="CM614" s="1044"/>
      <c r="CN614" s="1044"/>
    </row>
    <row r="615" spans="1:92" s="337" customFormat="1">
      <c r="A615" s="1036">
        <f t="shared" si="936"/>
        <v>41770</v>
      </c>
      <c r="B615" s="1035">
        <f t="shared" si="953"/>
        <v>0.33333333333333398</v>
      </c>
      <c r="C615" s="854">
        <f t="shared" ref="C615:C669" si="977">((A615-A614)+(B615-B614))*24</f>
        <v>24</v>
      </c>
      <c r="D615" s="1046">
        <v>2.9</v>
      </c>
      <c r="E615" s="1046">
        <v>76.900000000000006</v>
      </c>
      <c r="F615" s="1023"/>
      <c r="G615" s="1023"/>
      <c r="H615" s="1023"/>
      <c r="I615" s="1023"/>
      <c r="J615" s="1023"/>
      <c r="K615" s="1023"/>
      <c r="L615" s="1023"/>
      <c r="M615" s="1023"/>
      <c r="N615" s="1023"/>
      <c r="O615" s="1023"/>
      <c r="P615" s="1023"/>
      <c r="Q615" s="1023"/>
      <c r="R615" s="1023"/>
      <c r="S615" s="1023"/>
      <c r="T615" s="1023"/>
      <c r="U615" s="1023"/>
      <c r="V615" s="1046">
        <v>1.94</v>
      </c>
      <c r="W615" s="1046">
        <v>66.7</v>
      </c>
      <c r="X615" s="1023"/>
      <c r="Y615" s="1023"/>
      <c r="Z615" s="1023"/>
      <c r="AA615" s="1023"/>
      <c r="AB615" s="1023"/>
      <c r="AC615" s="1023"/>
      <c r="AD615" s="1021">
        <f>D612*(100-E612)/(100-W615)</f>
        <v>2.4774774774774775</v>
      </c>
      <c r="AE615" s="1055">
        <f>D612-V615</f>
        <v>1.3599999999999999</v>
      </c>
      <c r="AF615" s="847">
        <f>100*(AVERAGE(D$615,D$612,D$578,D$604,D$583,D$591,D$598,D$568,D$570,D$563)-V615)/AVERAGE(D$615,D$612,D$578,D$604,D$583,D$591,D$598,D$568,D$570,D$563)</f>
        <v>36.340325577120367</v>
      </c>
      <c r="AG615" s="847">
        <f>100*(1-((100-AVERAGE(E$615,E$612,E$578,E$604,E$583,E$591,E$598,E$568,E$570,E$563))/(100-W615)))</f>
        <v>32.208099991883799</v>
      </c>
      <c r="AH615" s="1055">
        <f>E612-W615</f>
        <v>8.2999999999999972</v>
      </c>
      <c r="AI615" s="847">
        <f>100*(1-((V615*W615)/(AVERAGE(D$615,D$612,D$578,D$604,D$583,D$591,D$598,D$568,D$570,D$563)*AVERAGE(E$615,E$612,E$578,E$604,E$583,E$591,E$598,E$568,E$570,E$563))))</f>
        <v>45.158747434938299</v>
      </c>
      <c r="AJ615" s="847">
        <f>100*100*((AVERAGE(E$615,E$612,E$578,E$604,E$583,E$591,E$598,E$568,E$570,E$563)-W615)/((100-W615)*AVERAGE(E$615,E$612,E$578,E$604,E$583,E$591,E$598,E$568,E$570,E$563)))</f>
        <v>41.598936156759308</v>
      </c>
      <c r="AK615" s="1023"/>
      <c r="AL615" s="1023">
        <v>35.5</v>
      </c>
      <c r="AM615" s="1099">
        <v>3283</v>
      </c>
      <c r="AN615" s="208">
        <f t="shared" si="961"/>
        <v>47.52</v>
      </c>
      <c r="AO615" s="208">
        <f t="shared" si="962"/>
        <v>29.734848484848484</v>
      </c>
      <c r="AP615" s="1100">
        <v>2125</v>
      </c>
      <c r="AQ615" s="1099">
        <f t="shared" si="889"/>
        <v>127573.29375000001</v>
      </c>
      <c r="AR615" s="76">
        <f t="shared" si="947"/>
        <v>1025.8968750000058</v>
      </c>
      <c r="AS615" s="230">
        <f t="shared" si="948"/>
        <v>42.74570312500024</v>
      </c>
      <c r="AT615" s="208">
        <f>AR615/(AVERAGE(AN615,AN616)*(AVERAGE(D$615,D$612,D$578,D$604,D$583,D$591,D$598,D$568,D$570,D$563))*AVERAGE(E$615,E$612,E$578,E$604,E$583,E$591,E$598,E$568,E$570,E$563)*0.0001)</f>
        <v>1032.2743734966978</v>
      </c>
      <c r="AU615" s="597">
        <f>(AQ615-AQ609)/(AVERAGE(AN609:AN615)*((AVERAGE(D$615,D$612,D$578,D$604,D$583,D$591,D$598,D$568,D$570,D$563)*AVERAGE(E$615,E$612,E$578,E$604,E$583,E$591,E$598,E$568,E$570,E$563))-(V615*W615))*0.0001*(SUM(C609:C615)/24))</f>
        <v>1494.1220991720627</v>
      </c>
      <c r="AV615" s="230">
        <f>AR615/(AVERAGE(AN616,AN615)*AVERAGE(D$615,D$612,D$578,D$604,D$583,D$591,D$598,D$568,D$570,D$563)*0.01)</f>
        <v>799.24150260363126</v>
      </c>
      <c r="AW615" s="855">
        <f t="shared" si="881"/>
        <v>0.7260416666666708</v>
      </c>
      <c r="AX615" s="1023">
        <v>63.9</v>
      </c>
      <c r="AY615" s="1023">
        <v>30.6</v>
      </c>
      <c r="AZ615" s="1023">
        <v>0</v>
      </c>
      <c r="BA615" s="1023">
        <v>43</v>
      </c>
      <c r="BB615" s="1023">
        <v>115</v>
      </c>
      <c r="BC615" s="1023"/>
      <c r="BD615" s="1023"/>
      <c r="BE615" s="1023"/>
      <c r="BF615" s="1023"/>
      <c r="BG615" s="1078">
        <v>2</v>
      </c>
      <c r="BH615" s="1046">
        <v>64</v>
      </c>
      <c r="BI615" s="1023"/>
      <c r="BJ615" s="1023"/>
      <c r="BK615" s="1023"/>
      <c r="BL615" s="1023"/>
      <c r="BM615" s="1023"/>
      <c r="BN615" s="1023"/>
      <c r="BO615" s="847">
        <f>D612*(100-E612)/(100-BH615)</f>
        <v>2.2916666666666665</v>
      </c>
      <c r="BP615" s="1055">
        <f>D612-BG615</f>
        <v>1.2999999999999998</v>
      </c>
      <c r="BQ615" s="1056">
        <f>100*(AVERAGE(D$615,D$612,D$578,D$604,D$583,D$591,D$598,D$568,D$570,D$563)-BG615)/AVERAGE(D$615,D$612,D$578,D$604,D$583,D$591,D$598,D$568,D$570,D$563)</f>
        <v>34.371469667134399</v>
      </c>
      <c r="BR615" s="1056">
        <f>100*(1-((100-AVERAGE(E$615,E$612,E$578,E$604,E$583,E$591,E$598,E$568,E$570,E$563))/(100-BH615)))</f>
        <v>37.292492492492514</v>
      </c>
      <c r="BS615" s="1055">
        <f>E612-BH615</f>
        <v>11</v>
      </c>
      <c r="BT615" s="1055">
        <f>100*(1-((BG615*BH615)/(AVERAGE(D$615,D$612,D$578,D$604,D$583,D$591,D$598,D$568,D$570,D$563)*AVERAGE(E$615,E$612,E$578,E$604,E$583,E$591,E$598,E$568,E$570,E$563))))</f>
        <v>45.751245549947463</v>
      </c>
      <c r="BU615" s="847">
        <f>100*100*((AVERAGE(E$615,E$612,E$578,E$604,E$583,E$591,E$598,E$568,E$570,E$563)-BH615)/((100-BH615)*AVERAGE(E$615,E$612,E$578,E$604,E$583,E$591,E$598,E$568,E$570,E$563)))</f>
        <v>48.165772420991772</v>
      </c>
      <c r="BV615" s="1023"/>
      <c r="BW615" s="1023">
        <v>50.6</v>
      </c>
      <c r="BX615" s="1023">
        <v>2031</v>
      </c>
      <c r="BY615" s="1054">
        <f t="shared" si="949"/>
        <v>32</v>
      </c>
      <c r="BZ615" s="1054">
        <f t="shared" si="950"/>
        <v>23.3125</v>
      </c>
      <c r="CA615" s="1023">
        <v>1121</v>
      </c>
      <c r="CB615" s="1100">
        <f t="shared" si="894"/>
        <v>68196.875</v>
      </c>
      <c r="CC615" s="208">
        <f t="shared" si="951"/>
        <v>613.28125</v>
      </c>
      <c r="CD615" s="208">
        <f t="shared" si="952"/>
        <v>25.553385416666668</v>
      </c>
      <c r="CE615" s="230">
        <f>CC615/(AVERAGE(BY616,BY615)*(AVERAGE(D$615,D$612,D$578,D$604,D$583,D$591,D$598,D$568,D$570,D$563))*AVERAGE(E$615,E$612,E$578,E$604,E$583,E$591,E$598,E$568,E$570,E$563)*0.0001)</f>
        <v>812.24960791189653</v>
      </c>
      <c r="CF615" s="334">
        <f>(CB615-CB609)/(AVERAGE(BY609:BY615)*((AVERAGE(D$615,D$612,D$578,D$604,D$583,D$591,D$598,D$568,D$570,D$563)*AVERAGE(E$615,E$612,E$578,E$604,E$583,E$591,E$598,E$568,E$570,E$563))-(BG615*BH615))*0.0001*(SUM(C609:C615)/24))</f>
        <v>1521.7376953785863</v>
      </c>
      <c r="CG615" s="208">
        <f>CC615/(AVERAGE(BY615,BY616)*AVERAGE((D$615,D$612,D$578,D$604,D$583,D$591,D$598,D$568,D$570,D$563))*0.01)</f>
        <v>628.88667372191765</v>
      </c>
      <c r="CH615" s="855">
        <f t="shared" si="915"/>
        <v>0.82209282841823061</v>
      </c>
      <c r="CI615" s="1023">
        <v>68.099999999999994</v>
      </c>
      <c r="CJ615" s="1023">
        <v>31.8</v>
      </c>
      <c r="CK615" s="1023">
        <v>0</v>
      </c>
      <c r="CL615" s="1023">
        <v>40</v>
      </c>
      <c r="CM615" s="1023">
        <v>145</v>
      </c>
      <c r="CN615" s="1023"/>
    </row>
    <row r="616" spans="1:92">
      <c r="A616" s="1034">
        <f t="shared" si="936"/>
        <v>41771</v>
      </c>
      <c r="B616" s="1035">
        <f t="shared" si="953"/>
        <v>0.33333333333333398</v>
      </c>
      <c r="C616" s="854">
        <f t="shared" si="977"/>
        <v>24</v>
      </c>
      <c r="D616" s="1044"/>
      <c r="E616" s="1044"/>
      <c r="F616" s="1044"/>
      <c r="G616" s="1044"/>
      <c r="H616" s="1044"/>
      <c r="I616" s="1044"/>
      <c r="J616" s="1044"/>
      <c r="K616" s="1044"/>
      <c r="L616" s="1044"/>
      <c r="M616" s="1044">
        <v>50</v>
      </c>
      <c r="N616" s="1044">
        <v>90</v>
      </c>
      <c r="O616" s="1044"/>
      <c r="P616" s="1044"/>
      <c r="Q616" s="1044"/>
      <c r="R616" s="1044"/>
      <c r="S616" s="1044"/>
      <c r="T616" s="1044"/>
      <c r="U616" s="1044"/>
      <c r="V616" s="1044"/>
      <c r="W616" s="1044"/>
      <c r="X616" s="1044"/>
      <c r="Y616" s="1044"/>
      <c r="Z616" s="1044"/>
      <c r="AA616" s="1044"/>
      <c r="AB616" s="1044"/>
      <c r="AC616" s="1044"/>
      <c r="AD616" s="1044"/>
      <c r="AE616" s="1044"/>
      <c r="AF616" s="1044"/>
      <c r="AG616" s="1044"/>
      <c r="AH616" s="1044"/>
      <c r="AI616" s="1044"/>
      <c r="AJ616" s="1044"/>
      <c r="AK616" s="1044"/>
      <c r="AL616" s="1044">
        <v>35.5</v>
      </c>
      <c r="AM616" s="1099">
        <v>3300</v>
      </c>
      <c r="AN616" s="208">
        <f t="shared" si="961"/>
        <v>36.72</v>
      </c>
      <c r="AO616" s="208">
        <f t="shared" si="962"/>
        <v>38.480392156862749</v>
      </c>
      <c r="AP616" s="1099">
        <v>2142</v>
      </c>
      <c r="AQ616" s="1099">
        <f t="shared" si="889"/>
        <v>128599.190625</v>
      </c>
      <c r="AR616" s="76">
        <f t="shared" si="947"/>
        <v>1025.8968749999913</v>
      </c>
      <c r="AS616" s="230">
        <f t="shared" si="948"/>
        <v>42.745703124999636</v>
      </c>
      <c r="AT616" s="208">
        <f t="shared" ref="AT616:AT618" si="978">AR616/(AVERAGE(AN616,AN617)*(AVERAGE(D$615,D$612,D$578,D$604,D$583,D$591,D$598,D$568,D$570,D$563))*AVERAGE(E$615,E$612,E$578,E$604,E$583,E$591,E$598,E$568,E$570,E$563)*0.0001)</f>
        <v>2012.9350283185322</v>
      </c>
      <c r="AU616" s="1044"/>
      <c r="AV616" s="230">
        <f t="shared" ref="AV616:AV618" si="979">AR616/(AVERAGE(AN617,AN616)*AVERAGE(D$615,D$612,D$578,D$604,D$583,D$591,D$598,D$568,D$570,D$563)*0.01)</f>
        <v>1558.5209300770593</v>
      </c>
      <c r="AW616" s="855">
        <f t="shared" si="881"/>
        <v>0.72604166666666048</v>
      </c>
      <c r="AX616" s="1044"/>
      <c r="AY616" s="1044"/>
      <c r="AZ616" s="1044"/>
      <c r="BA616" s="1044"/>
      <c r="BB616" s="1044"/>
      <c r="BC616" s="1044"/>
      <c r="BD616" s="1044"/>
      <c r="BE616" s="1044"/>
      <c r="BF616" s="1044"/>
      <c r="BG616" s="1044"/>
      <c r="BH616" s="1044"/>
      <c r="BI616" s="1044"/>
      <c r="BJ616" s="1044"/>
      <c r="BK616" s="1044"/>
      <c r="BL616" s="1044"/>
      <c r="BM616" s="1044"/>
      <c r="BN616" s="1044"/>
      <c r="BO616" s="1044"/>
      <c r="BP616" s="1044"/>
      <c r="BQ616" s="1044"/>
      <c r="BR616" s="1044"/>
      <c r="BS616" s="1044"/>
      <c r="BT616" s="1044"/>
      <c r="BU616" s="1044"/>
      <c r="BV616" s="1044"/>
      <c r="BW616" s="1044">
        <v>50.6</v>
      </c>
      <c r="BX616" s="1044">
        <v>2047</v>
      </c>
      <c r="BY616" s="1054">
        <f t="shared" si="949"/>
        <v>32</v>
      </c>
      <c r="BZ616" s="1054">
        <f t="shared" si="950"/>
        <v>23.3125</v>
      </c>
      <c r="CA616" s="1044">
        <v>1131</v>
      </c>
      <c r="CB616" s="1099">
        <f t="shared" si="894"/>
        <v>68810.15625</v>
      </c>
      <c r="CC616" s="208">
        <f t="shared" si="951"/>
        <v>613.28125</v>
      </c>
      <c r="CD616" s="208">
        <f t="shared" si="952"/>
        <v>25.553385416666668</v>
      </c>
      <c r="CE616" s="230">
        <f t="shared" ref="CE616:CE618" si="980">CC616/(AVERAGE(BY617,BY616)*(AVERAGE(D$615,D$612,D$578,D$604,D$583,D$591,D$598,D$568,D$570,D$563))*AVERAGE(E$615,E$612,E$578,E$604,E$583,E$591,E$598,E$568,E$570,E$563)*0.0001)</f>
        <v>812.24960791189653</v>
      </c>
      <c r="CF616" s="1044"/>
      <c r="CG616" s="208">
        <f>CC616/(AVERAGE(BY616,BY617)*AVERAGE((D$615,D$612,D$578,D$604,D$583,D$591,D$598,D$568,D$570,D$563))*0.01)</f>
        <v>628.88667372191765</v>
      </c>
      <c r="CH616" s="855">
        <f t="shared" si="915"/>
        <v>0.82209282841823061</v>
      </c>
      <c r="CI616" s="1044"/>
      <c r="CJ616" s="1044"/>
      <c r="CK616" s="1044"/>
      <c r="CL616" s="1044"/>
      <c r="CM616" s="1044"/>
      <c r="CN616" s="1044"/>
    </row>
    <row r="617" spans="1:92">
      <c r="A617" s="1034">
        <f t="shared" si="936"/>
        <v>41772</v>
      </c>
      <c r="B617" s="1035">
        <f t="shared" si="953"/>
        <v>0.33333333333333398</v>
      </c>
      <c r="C617" s="854">
        <f t="shared" si="977"/>
        <v>24</v>
      </c>
      <c r="D617" s="1044"/>
      <c r="E617" s="1044"/>
      <c r="F617" s="1044"/>
      <c r="G617" s="1044"/>
      <c r="H617" s="1044"/>
      <c r="I617" s="1044"/>
      <c r="J617" s="1044"/>
      <c r="K617" s="1044"/>
      <c r="L617" s="1044"/>
      <c r="M617" s="1044"/>
      <c r="N617" s="1044"/>
      <c r="O617" s="1044"/>
      <c r="P617" s="1044"/>
      <c r="Q617" s="1044"/>
      <c r="R617" s="1044"/>
      <c r="S617" s="1044"/>
      <c r="T617" s="1044"/>
      <c r="U617" s="1044"/>
      <c r="V617" s="1044"/>
      <c r="W617" s="1044"/>
      <c r="X617" s="1044"/>
      <c r="Y617" s="1044"/>
      <c r="Z617" s="1044"/>
      <c r="AA617" s="1044"/>
      <c r="AB617" s="1044"/>
      <c r="AC617" s="1044"/>
      <c r="AD617" s="1044"/>
      <c r="AE617" s="1044"/>
      <c r="AF617" s="1044"/>
      <c r="AG617" s="1044"/>
      <c r="AH617" s="1044"/>
      <c r="AI617" s="1044"/>
      <c r="AJ617" s="1044"/>
      <c r="AK617" s="1044"/>
      <c r="AL617" s="1044">
        <v>35.6</v>
      </c>
      <c r="AM617" s="1099">
        <v>3303</v>
      </c>
      <c r="AN617" s="208">
        <f t="shared" ref="AN617:AN660" si="981">(AM617-AM616)*AQ$1/((C616)/24)</f>
        <v>6.48</v>
      </c>
      <c r="AO617" s="208">
        <f t="shared" ref="AO617:AO660" si="982">AQ$3/AN617</f>
        <v>218.05555555555554</v>
      </c>
      <c r="AP617" s="1099">
        <v>2153</v>
      </c>
      <c r="AQ617" s="1099">
        <f t="shared" si="889"/>
        <v>129263.00625000001</v>
      </c>
      <c r="AR617" s="76">
        <f t="shared" si="947"/>
        <v>663.81562500000291</v>
      </c>
      <c r="AS617" s="230">
        <f t="shared" si="948"/>
        <v>27.65898437500012</v>
      </c>
      <c r="AT617" s="208">
        <f t="shared" si="978"/>
        <v>651.24368563247469</v>
      </c>
      <c r="AU617" s="1044"/>
      <c r="AV617" s="230">
        <f t="shared" si="979"/>
        <v>504.22735973081978</v>
      </c>
      <c r="AW617" s="855">
        <f t="shared" si="881"/>
        <v>0.46979166666666872</v>
      </c>
      <c r="AX617" s="1044"/>
      <c r="AY617" s="1044"/>
      <c r="AZ617" s="1044"/>
      <c r="BA617" s="1044"/>
      <c r="BB617" s="1044"/>
      <c r="BC617" s="1044"/>
      <c r="BD617" s="1044"/>
      <c r="BE617" s="1044"/>
      <c r="BF617" s="1044"/>
      <c r="BG617" s="1044"/>
      <c r="BH617" s="1044"/>
      <c r="BI617" s="1044"/>
      <c r="BJ617" s="1044"/>
      <c r="BK617" s="1044"/>
      <c r="BL617" s="1044"/>
      <c r="BM617" s="1044"/>
      <c r="BN617" s="1044"/>
      <c r="BO617" s="1044"/>
      <c r="BP617" s="1044"/>
      <c r="BQ617" s="1044"/>
      <c r="BR617" s="1044"/>
      <c r="BS617" s="1044"/>
      <c r="BT617" s="1044"/>
      <c r="BU617" s="1044"/>
      <c r="BV617" s="1044"/>
      <c r="BW617" s="1044">
        <v>50.5</v>
      </c>
      <c r="BX617" s="1044">
        <v>2063</v>
      </c>
      <c r="BY617" s="1054">
        <f t="shared" si="949"/>
        <v>32</v>
      </c>
      <c r="BZ617" s="1054">
        <f t="shared" si="950"/>
        <v>23.3125</v>
      </c>
      <c r="CA617" s="1044">
        <v>1141</v>
      </c>
      <c r="CB617" s="1099">
        <f t="shared" si="894"/>
        <v>69423.4375</v>
      </c>
      <c r="CC617" s="208">
        <f t="shared" si="951"/>
        <v>613.28125</v>
      </c>
      <c r="CD617" s="208">
        <f t="shared" si="952"/>
        <v>25.553385416666668</v>
      </c>
      <c r="CE617" s="230">
        <f t="shared" si="980"/>
        <v>812.24960791189653</v>
      </c>
      <c r="CF617" s="1044"/>
      <c r="CG617" s="208">
        <f>CC617/(AVERAGE(BY617,BY618)*AVERAGE((D$615,D$612,D$578,D$604,D$583,D$591,D$598,D$568,D$570,D$563))*0.01)</f>
        <v>628.88667372191765</v>
      </c>
      <c r="CH617" s="855">
        <f t="shared" si="915"/>
        <v>0.82209282841823061</v>
      </c>
      <c r="CI617" s="1044"/>
      <c r="CJ617" s="1044"/>
      <c r="CK617" s="1044"/>
      <c r="CL617" s="1044"/>
      <c r="CM617" s="1044"/>
      <c r="CN617" s="1044"/>
    </row>
    <row r="618" spans="1:92" ht="15">
      <c r="A618" s="1034">
        <f t="shared" si="936"/>
        <v>41773</v>
      </c>
      <c r="B618" s="1035">
        <f t="shared" si="953"/>
        <v>0.33333333333333398</v>
      </c>
      <c r="C618" s="854">
        <f t="shared" si="977"/>
        <v>24</v>
      </c>
      <c r="D618" s="1044"/>
      <c r="E618" s="1044"/>
      <c r="F618" s="1044"/>
      <c r="G618" s="1044"/>
      <c r="H618" s="1044"/>
      <c r="I618" s="1044"/>
      <c r="J618" s="1044"/>
      <c r="K618" s="1044"/>
      <c r="L618" s="1044"/>
      <c r="M618" s="1044">
        <v>60</v>
      </c>
      <c r="N618" s="1044">
        <v>85</v>
      </c>
      <c r="O618" s="1044"/>
      <c r="P618" s="1044">
        <v>700</v>
      </c>
      <c r="Q618" s="210">
        <f t="shared" ref="Q618" si="983">P618/((N618-M618)*N$4)</f>
        <v>5.5732484076433124</v>
      </c>
      <c r="R618" s="225">
        <f t="shared" ref="R618" si="984">10*Q618/(AVERAGE(D$261,D$262))</f>
        <v>18.515775440675458</v>
      </c>
      <c r="S618" s="1044"/>
      <c r="T618" s="1044"/>
      <c r="U618" s="1044"/>
      <c r="V618" s="1044"/>
      <c r="W618" s="1044"/>
      <c r="X618" s="1044"/>
      <c r="Y618" s="1044"/>
      <c r="Z618" s="1044"/>
      <c r="AA618" s="1044"/>
      <c r="AB618" s="1044"/>
      <c r="AC618" s="1044"/>
      <c r="AD618" s="1044"/>
      <c r="AE618" s="1044"/>
      <c r="AF618" s="1044"/>
      <c r="AG618" s="1044"/>
      <c r="AH618" s="1044"/>
      <c r="AI618" s="1044"/>
      <c r="AJ618" s="1044"/>
      <c r="AK618" s="1044"/>
      <c r="AL618" s="1044">
        <v>35.6</v>
      </c>
      <c r="AM618" s="1101">
        <v>3340</v>
      </c>
      <c r="AN618" s="208">
        <f t="shared" si="981"/>
        <v>79.92</v>
      </c>
      <c r="AO618" s="208">
        <f t="shared" si="982"/>
        <v>17.68018018018018</v>
      </c>
      <c r="AP618" s="1044">
        <v>2175</v>
      </c>
      <c r="AQ618" s="1099">
        <f t="shared" ref="AQ618:AQ694" si="985">((AP618-AP$489)*AQ$2)</f>
        <v>130590.63750000001</v>
      </c>
      <c r="AR618" s="76">
        <f t="shared" ref="AR618:AR660" si="986">(AQ618-AQ617)/(C618/24)</f>
        <v>1327.6312500000058</v>
      </c>
      <c r="AS618" s="230">
        <f t="shared" ref="AS618:AS660" si="987">(AQ618-AQ617)/C618</f>
        <v>55.31796875000024</v>
      </c>
      <c r="AT618" s="208">
        <f t="shared" si="978"/>
        <v>801.53069000919936</v>
      </c>
      <c r="AU618" s="1044"/>
      <c r="AV618" s="230">
        <f t="shared" si="979"/>
        <v>620.58751966870113</v>
      </c>
      <c r="AW618" s="855">
        <f t="shared" si="881"/>
        <v>0.93958333333333743</v>
      </c>
      <c r="AX618" s="1044">
        <v>69.8</v>
      </c>
      <c r="AY618" s="1044">
        <v>30.1</v>
      </c>
      <c r="AZ618" s="1044">
        <v>0</v>
      </c>
      <c r="BA618" s="1044">
        <v>56</v>
      </c>
      <c r="BB618" s="1044">
        <v>95</v>
      </c>
      <c r="BC618" s="1044"/>
      <c r="BD618" s="1044"/>
      <c r="BE618" s="1044"/>
      <c r="BF618" s="1044"/>
      <c r="BG618" s="1044"/>
      <c r="BH618" s="1044"/>
      <c r="BI618" s="1044"/>
      <c r="BJ618" s="1044"/>
      <c r="BK618" s="1044"/>
      <c r="BL618" s="1044"/>
      <c r="BM618" s="1044"/>
      <c r="BN618" s="1044"/>
      <c r="BO618" s="1044"/>
      <c r="BP618" s="1044"/>
      <c r="BQ618" s="1044"/>
      <c r="BR618" s="1044"/>
      <c r="BS618" s="1044"/>
      <c r="BT618" s="1044"/>
      <c r="BU618" s="1044"/>
      <c r="BV618" s="1044"/>
      <c r="BW618" s="1044">
        <v>50.6</v>
      </c>
      <c r="BX618" s="1044">
        <v>2079</v>
      </c>
      <c r="BY618" s="1054">
        <f t="shared" ref="BY618:BY660" si="988">(BX618-BX617)*CB$1/((C618)/24)</f>
        <v>32</v>
      </c>
      <c r="BZ618" s="1054">
        <f t="shared" ref="BZ618:BZ660" si="989">CB$3/BY618</f>
        <v>23.3125</v>
      </c>
      <c r="CA618" s="1044">
        <v>1153</v>
      </c>
      <c r="CB618" s="1099">
        <f t="shared" ref="CB618:CB714" si="990">((CA618-CA$489)*CB$2)</f>
        <v>70159.375</v>
      </c>
      <c r="CC618" s="208">
        <f t="shared" ref="CC618:CC660" si="991">(CB618-CB617)/((C618/24))</f>
        <v>735.9375</v>
      </c>
      <c r="CD618" s="208">
        <f t="shared" ref="CD618:CD660" si="992">(CB618-CB617)/(C618)</f>
        <v>30.6640625</v>
      </c>
      <c r="CE618" s="230">
        <f t="shared" si="980"/>
        <v>974.69952949427591</v>
      </c>
      <c r="CF618" s="1044"/>
      <c r="CG618" s="208">
        <f>CC618/(AVERAGE(BY618,BY619)*AVERAGE((D$615,D$612,D$578,D$604,D$583,D$591,D$598,D$568,D$570,D$563))*0.01)</f>
        <v>754.6640084663012</v>
      </c>
      <c r="CH618" s="855">
        <f t="shared" si="915"/>
        <v>0.98651139410187672</v>
      </c>
      <c r="CI618" s="1044">
        <v>67.900000000000006</v>
      </c>
      <c r="CJ618" s="1044">
        <v>32</v>
      </c>
      <c r="CK618" s="1044">
        <v>0</v>
      </c>
      <c r="CL618" s="1044">
        <v>88</v>
      </c>
      <c r="CM618" s="1044">
        <v>235</v>
      </c>
      <c r="CN618" s="1044"/>
    </row>
    <row r="619" spans="1:92" s="337" customFormat="1">
      <c r="A619" s="1036">
        <f t="shared" si="936"/>
        <v>41774</v>
      </c>
      <c r="B619" s="1037">
        <f t="shared" si="953"/>
        <v>0.33333333333333398</v>
      </c>
      <c r="C619" s="847">
        <f t="shared" si="977"/>
        <v>24</v>
      </c>
      <c r="D619" s="1023">
        <v>3.1</v>
      </c>
      <c r="E619" s="1023">
        <v>76</v>
      </c>
      <c r="F619" s="1023">
        <v>36900</v>
      </c>
      <c r="G619" s="1023"/>
      <c r="H619" s="1023">
        <v>45.5</v>
      </c>
      <c r="I619" s="1023">
        <v>7647</v>
      </c>
      <c r="J619" s="1023">
        <v>3924</v>
      </c>
      <c r="K619" s="1023">
        <v>60</v>
      </c>
      <c r="L619" s="1023">
        <v>200</v>
      </c>
      <c r="M619" s="1023"/>
      <c r="N619" s="1023"/>
      <c r="O619" s="1023"/>
      <c r="P619" s="1023"/>
      <c r="Q619" s="1023"/>
      <c r="R619" s="1023"/>
      <c r="S619" s="1023"/>
      <c r="T619" s="1023"/>
      <c r="U619" s="1023"/>
      <c r="V619" s="1023">
        <v>2.1</v>
      </c>
      <c r="W619" s="1023">
        <v>68.3</v>
      </c>
      <c r="X619" s="1023">
        <v>22800</v>
      </c>
      <c r="Y619" s="1023">
        <v>36.6</v>
      </c>
      <c r="Z619" s="1023">
        <v>2165</v>
      </c>
      <c r="AA619" s="1023">
        <v>740</v>
      </c>
      <c r="AB619" s="1023">
        <v>78.5</v>
      </c>
      <c r="AC619" s="1023">
        <v>133</v>
      </c>
      <c r="AD619" s="1021">
        <f>D615*(100-E615)/(100-W619)</f>
        <v>2.1132492113564663</v>
      </c>
      <c r="AE619" s="1055">
        <f>D615-V619</f>
        <v>0.79999999999999982</v>
      </c>
      <c r="AF619" s="847">
        <f>100*(AVERAGE(D$615,D$612,D$578,D$604,D$583,D$591,D$598,D$568,D$570,D$619)-V619)/AVERAGE(D$615,D$612,D$578,D$604,D$583,D$591,D$598,D$568,D$570,D$619)</f>
        <v>30.404929824385384</v>
      </c>
      <c r="AG619" s="847">
        <f>100*(1-((100-AVERAGE(E$615,E$612,E$578,E$604,E$583,E$591,E$598,E$568,E$570,E$619))/(100-W619)))</f>
        <v>27.871600306931555</v>
      </c>
      <c r="AH619" s="1055">
        <f>E615-W619</f>
        <v>8.6000000000000085</v>
      </c>
      <c r="AI619" s="847">
        <f>100*(1-((V619*W619)/(AVERAGE(D$615,D$612,D$578,D$604,D$583,D$591,D$598,D$568,D$570,D$619)*AVERAGE(E$615,E$612,E$578,E$604,E$583,E$591,E$598,E$568,E$570,E$619))))</f>
        <v>38.376547967735284</v>
      </c>
      <c r="AJ619" s="847">
        <f>100*100*((AVERAGE(E$615,E$612,E$578,E$604,E$583,E$591,E$598,E$568,E$570,E$619)-W619)/((100-W619)*AVERAGE(E$615,E$612,E$578,E$604,E$583,E$591,E$598,E$568,E$570,E$619)))</f>
        <v>36.133393249925454</v>
      </c>
      <c r="AK619" s="1023"/>
      <c r="AL619" s="1023">
        <v>35.6</v>
      </c>
      <c r="AM619" s="1023">
        <v>3368</v>
      </c>
      <c r="AN619" s="208">
        <f t="shared" si="981"/>
        <v>60.480000000000004</v>
      </c>
      <c r="AO619" s="208">
        <f t="shared" si="982"/>
        <v>23.363095238095237</v>
      </c>
      <c r="AP619" s="1023">
        <v>2194</v>
      </c>
      <c r="AQ619" s="1099">
        <f t="shared" si="985"/>
        <v>131737.22812500002</v>
      </c>
      <c r="AR619" s="76">
        <f t="shared" si="986"/>
        <v>1146.5906250000116</v>
      </c>
      <c r="AS619" s="230">
        <f t="shared" si="987"/>
        <v>47.774609375000487</v>
      </c>
      <c r="AT619" s="208">
        <f>AR619/(AVERAGE(AN619,AN620)*(AVERAGE(D$615,D$612,D$578,D$604,D$583,D$591,D$598,D$568,D$570,D$619))*AVERAGE(E$615,E$612,E$578,E$604,E$583,E$591,E$598,E$568,E$570,E$619)*0.0001)</f>
        <v>950.2752501480029</v>
      </c>
      <c r="AU619" s="597">
        <f>(AQ619-AQ613)/(AVERAGE(AN613:AN619)*((AVERAGE(D$615,D$612,D$578,D$604,D$583,D$591,D$598,D$568,D$570,D$619)*AVERAGE(E$615,E$612,E$578,E$604,E$583,E$591,E$598,E$568,E$570,E$619))-(V619*W619))*0.0001*(SUM(C613:C619)/24))</f>
        <v>1927.6073370640624</v>
      </c>
      <c r="AV619" s="230">
        <f>AR619/(AVERAGE(AN620,AN619)*AVERAGE(D$615,D$612,D$578,D$604,D$583,D$591,D$598,D$568,D$570,D$619)*0.01)</f>
        <v>732.99763934429768</v>
      </c>
      <c r="AW619" s="855">
        <f t="shared" si="881"/>
        <v>0.81145833333334161</v>
      </c>
      <c r="AX619" s="1023"/>
      <c r="AY619" s="1023"/>
      <c r="AZ619" s="1023"/>
      <c r="BA619" s="1023"/>
      <c r="BB619" s="1023"/>
      <c r="BC619" s="1023"/>
      <c r="BD619" s="1023"/>
      <c r="BE619" s="1023"/>
      <c r="BF619" s="1023"/>
      <c r="BG619" s="1023">
        <v>2.2000000000000002</v>
      </c>
      <c r="BH619" s="1023">
        <v>66.7</v>
      </c>
      <c r="BI619" s="1023">
        <v>21600</v>
      </c>
      <c r="BJ619" s="1023">
        <v>35.4</v>
      </c>
      <c r="BK619" s="1023">
        <v>2930</v>
      </c>
      <c r="BL619" s="1023">
        <v>719</v>
      </c>
      <c r="BM619" s="1023">
        <v>85.6</v>
      </c>
      <c r="BN619" s="1023">
        <v>115</v>
      </c>
      <c r="BO619" s="847">
        <f>D615*(100-E615)/(100-BH619)</f>
        <v>2.0117117117117114</v>
      </c>
      <c r="BP619" s="1055">
        <f>D615-BG619</f>
        <v>0.69999999999999973</v>
      </c>
      <c r="BQ619" s="1056">
        <f>100*(AVERAGE(D$615,D$612,D$578,D$604,D$583,D$591,D$598,D$568,D$570,D$619)-BG619)/AVERAGE(D$615,D$612,D$578,D$604,D$583,D$591,D$598,D$568,D$570,D$619)</f>
        <v>27.09087886364183</v>
      </c>
      <c r="BR619" s="1056">
        <f>100*(1-((100-AVERAGE(E$615,E$612,E$578,E$604,E$583,E$591,E$598,E$568,E$570,E$619))/(100-BH619)))</f>
        <v>31.3372291210129</v>
      </c>
      <c r="BS619" s="1055">
        <f>E615-BH619</f>
        <v>10.200000000000003</v>
      </c>
      <c r="BT619" s="1055">
        <f>100*(1-((BG619*BH619)/(AVERAGE(D$615,D$612,D$578,D$604,D$583,D$591,D$598,D$568,D$570,D$619)*AVERAGE(E$615,E$612,E$578,E$604,E$583,E$591,E$598,E$568,E$570,E$619))))</f>
        <v>36.954435256121279</v>
      </c>
      <c r="BU619" s="847">
        <f>100*100*((AVERAGE(E$615,E$612,E$578,E$604,E$583,E$591,E$598,E$568,E$570,E$619)-BH619)/((100-BH619)*AVERAGE(E$615,E$612,E$578,E$604,E$583,E$591,E$598,E$568,E$570,E$619)))</f>
        <v>40.62631534332715</v>
      </c>
      <c r="BV619" s="1023"/>
      <c r="BW619" s="1023">
        <v>50.5</v>
      </c>
      <c r="BX619" s="1023">
        <v>2095</v>
      </c>
      <c r="BY619" s="1054">
        <f t="shared" si="988"/>
        <v>32</v>
      </c>
      <c r="BZ619" s="1054">
        <f t="shared" si="989"/>
        <v>23.3125</v>
      </c>
      <c r="CA619" s="1023">
        <v>1163</v>
      </c>
      <c r="CB619" s="1099">
        <f t="shared" si="990"/>
        <v>70772.65625</v>
      </c>
      <c r="CC619" s="208">
        <f t="shared" si="991"/>
        <v>613.28125</v>
      </c>
      <c r="CD619" s="208">
        <f t="shared" si="992"/>
        <v>25.553385416666668</v>
      </c>
      <c r="CE619" s="230">
        <f>CC619/(AVERAGE(BY620,BY619)*(AVERAGE(D$615,D$612,D$578,D$604,D$583,D$591,D$598,D$568,D$570,D$619))*AVERAGE(E$615,E$612,E$578,E$604,E$583,E$591,E$598,E$568,E$570,E$619)*0.0001)</f>
        <v>823.40923472387101</v>
      </c>
      <c r="CF619" s="334">
        <f>(CB619-CB613)/(AVERAGE(BY613:BY619)*((AVERAGE(D$615,D$612,D$578,D$604,D$583,D$591,D$598,D$568,D$570,D$619)*AVERAGE(E$615,E$612,E$578,E$604,E$583,E$591,E$598,E$568,E$570,E$619))-(BG619*BH619))*0.0001*(SUM(C613:C619)/24))</f>
        <v>1941.6947604351756</v>
      </c>
      <c r="CG619" s="208">
        <f>CC619/(AVERAGE(BY619,BY620)*AVERAGE((D$615,D$612,D$578,D$604,D$583,D$591,D$598,D$568,D$570,D$619))*0.01)</f>
        <v>635.13916117765848</v>
      </c>
      <c r="CH619" s="855">
        <f t="shared" si="915"/>
        <v>0.82209282841823061</v>
      </c>
      <c r="CI619" s="1023"/>
      <c r="CJ619" s="1023"/>
      <c r="CK619" s="1023"/>
      <c r="CL619" s="1023"/>
      <c r="CM619" s="1023"/>
      <c r="CN619" s="1023"/>
    </row>
    <row r="620" spans="1:92" ht="15">
      <c r="A620" s="1034">
        <f t="shared" si="936"/>
        <v>41775</v>
      </c>
      <c r="B620" s="1035">
        <f t="shared" si="953"/>
        <v>0.33333333333333398</v>
      </c>
      <c r="C620" s="854">
        <f t="shared" si="977"/>
        <v>24</v>
      </c>
      <c r="D620" s="1044"/>
      <c r="E620" s="1044"/>
      <c r="F620" s="1044"/>
      <c r="G620" s="1044"/>
      <c r="H620" s="1044"/>
      <c r="I620" s="1044"/>
      <c r="J620" s="1044"/>
      <c r="K620" s="1044"/>
      <c r="L620" s="1044"/>
      <c r="M620" s="1044">
        <v>50</v>
      </c>
      <c r="N620" s="1044">
        <v>80</v>
      </c>
      <c r="O620" s="1044"/>
      <c r="P620" s="1044">
        <v>1050</v>
      </c>
      <c r="Q620" s="210">
        <f t="shared" ref="Q620:Q621" si="993">P620/((N620-M620)*N$4)</f>
        <v>6.9665605095541405</v>
      </c>
      <c r="R620" s="225">
        <f t="shared" ref="R620:R621" si="994">10*Q620/(AVERAGE(D$261,D$262))</f>
        <v>23.144719300844322</v>
      </c>
      <c r="S620" s="1044"/>
      <c r="T620" s="1044"/>
      <c r="U620" s="1044"/>
      <c r="V620" s="1044"/>
      <c r="W620" s="1044"/>
      <c r="X620" s="1044"/>
      <c r="Y620" s="1044"/>
      <c r="Z620" s="1044"/>
      <c r="AA620" s="1044"/>
      <c r="AB620" s="1044"/>
      <c r="AC620" s="1044"/>
      <c r="AD620" s="1044"/>
      <c r="AE620" s="1044"/>
      <c r="AF620" s="1044"/>
      <c r="AG620" s="1044"/>
      <c r="AH620" s="1044"/>
      <c r="AI620" s="1044"/>
      <c r="AJ620" s="1044"/>
      <c r="AK620" s="1044"/>
      <c r="AL620" s="1044">
        <v>35.799999999999997</v>
      </c>
      <c r="AM620" s="1044">
        <v>3388</v>
      </c>
      <c r="AN620" s="208">
        <f t="shared" si="981"/>
        <v>43.2</v>
      </c>
      <c r="AO620" s="208">
        <f t="shared" si="982"/>
        <v>32.708333333333329</v>
      </c>
      <c r="AP620" s="1044">
        <v>2209</v>
      </c>
      <c r="AQ620" s="1099">
        <f t="shared" si="985"/>
        <v>132642.43125000002</v>
      </c>
      <c r="AR620" s="76">
        <f t="shared" si="986"/>
        <v>905.203125</v>
      </c>
      <c r="AS620" s="230">
        <f t="shared" si="987"/>
        <v>37.716796875</v>
      </c>
      <c r="AT620" s="208">
        <f t="shared" ref="AT620:AT625" si="995">AR620/(AVERAGE(AN620,AN621)*(AVERAGE(D$615,D$612,D$578,D$604,D$583,D$591,D$598,D$568,D$570,D$619))*AVERAGE(E$615,E$612,E$578,E$604,E$583,E$591,E$598,E$568,E$570,E$619)*0.0001)</f>
        <v>643.04340235578491</v>
      </c>
      <c r="AU620" s="1044"/>
      <c r="AV620" s="230">
        <f t="shared" ref="AV620:AV625" si="996">AR620/(AVERAGE(AN621,AN620)*AVERAGE(D$615,D$612,D$578,D$604,D$583,D$591,D$598,D$568,D$570,D$619)*0.01)</f>
        <v>496.0134401577904</v>
      </c>
      <c r="AW620" s="855">
        <f t="shared" si="881"/>
        <v>0.640625</v>
      </c>
      <c r="AX620" s="1044"/>
      <c r="AY620" s="1044"/>
      <c r="AZ620" s="1044"/>
      <c r="BA620" s="1044"/>
      <c r="BB620" s="1044"/>
      <c r="BC620" s="1044"/>
      <c r="BD620" s="1044"/>
      <c r="BE620" s="1044"/>
      <c r="BF620" s="1044"/>
      <c r="BG620" s="1044"/>
      <c r="BH620" s="1044"/>
      <c r="BI620" s="1044"/>
      <c r="BJ620" s="1044"/>
      <c r="BK620" s="1044"/>
      <c r="BL620" s="1044"/>
      <c r="BM620" s="1044"/>
      <c r="BN620" s="1044"/>
      <c r="BO620" s="1044"/>
      <c r="BP620" s="1044"/>
      <c r="BQ620" s="1044"/>
      <c r="BR620" s="1044"/>
      <c r="BS620" s="1044"/>
      <c r="BT620" s="1044"/>
      <c r="BU620" s="1044"/>
      <c r="BV620" s="1044"/>
      <c r="BW620" s="1044">
        <v>50.6</v>
      </c>
      <c r="BX620" s="1044">
        <v>2111</v>
      </c>
      <c r="BY620" s="1054">
        <f t="shared" si="988"/>
        <v>32</v>
      </c>
      <c r="BZ620" s="1054">
        <f t="shared" si="989"/>
        <v>23.3125</v>
      </c>
      <c r="CA620" s="1044">
        <v>1172</v>
      </c>
      <c r="CB620" s="1099">
        <f t="shared" si="990"/>
        <v>71324.609375</v>
      </c>
      <c r="CC620" s="208">
        <f t="shared" si="991"/>
        <v>551.953125</v>
      </c>
      <c r="CD620" s="208">
        <f t="shared" si="992"/>
        <v>22.998046875</v>
      </c>
      <c r="CE620" s="230">
        <f t="shared" ref="CE620:CE625" si="997">CC620/(AVERAGE(BY621,BY620)*(AVERAGE(D$615,D$612,D$578,D$604,D$583,D$591,D$598,D$568,D$570,D$619))*AVERAGE(E$615,E$612,E$578,E$604,E$583,E$591,E$598,E$568,E$570,E$619)*0.0001)</f>
        <v>1077.9175436385219</v>
      </c>
      <c r="CF620" s="1044"/>
      <c r="CG620" s="208">
        <f>CC620/(AVERAGE(BY620,BY621)*AVERAGE((D$615,D$612,D$578,D$604,D$583,D$591,D$598,D$568,D$570,D$619))*0.01)</f>
        <v>831.45490190529824</v>
      </c>
      <c r="CH620" s="855">
        <f t="shared" si="915"/>
        <v>0.73988354557640745</v>
      </c>
      <c r="CI620" s="1044"/>
      <c r="CJ620" s="1044"/>
      <c r="CK620" s="1044"/>
      <c r="CL620" s="1044"/>
      <c r="CM620" s="1044"/>
      <c r="CN620" s="1044"/>
    </row>
    <row r="621" spans="1:92" ht="15">
      <c r="A621" s="1034">
        <f t="shared" si="936"/>
        <v>41776</v>
      </c>
      <c r="B621" s="1035">
        <f t="shared" si="953"/>
        <v>0.33333333333333398</v>
      </c>
      <c r="C621" s="854">
        <f t="shared" si="977"/>
        <v>24</v>
      </c>
      <c r="D621" s="1044"/>
      <c r="E621" s="1044"/>
      <c r="F621" s="1044"/>
      <c r="G621" s="1044"/>
      <c r="H621" s="1044"/>
      <c r="I621" s="1044"/>
      <c r="J621" s="1044"/>
      <c r="K621" s="1044"/>
      <c r="L621" s="1044"/>
      <c r="M621" s="1044">
        <v>65</v>
      </c>
      <c r="N621" s="1044">
        <v>85</v>
      </c>
      <c r="O621" s="1044"/>
      <c r="P621" s="1044">
        <v>700</v>
      </c>
      <c r="Q621" s="210">
        <f t="shared" si="993"/>
        <v>6.9665605095541396</v>
      </c>
      <c r="R621" s="225">
        <f t="shared" si="994"/>
        <v>23.144719300844319</v>
      </c>
      <c r="S621" s="1044"/>
      <c r="T621" s="1044"/>
      <c r="U621" s="1044"/>
      <c r="V621" s="1044"/>
      <c r="W621" s="1044"/>
      <c r="X621" s="1044"/>
      <c r="Y621" s="1044"/>
      <c r="Z621" s="1044"/>
      <c r="AA621" s="1044"/>
      <c r="AB621" s="1044"/>
      <c r="AC621" s="1044"/>
      <c r="AD621" s="1044"/>
      <c r="AE621" s="1044"/>
      <c r="AF621" s="1044"/>
      <c r="AG621" s="1044"/>
      <c r="AH621" s="1044"/>
      <c r="AI621" s="1044"/>
      <c r="AJ621" s="1044"/>
      <c r="AK621" s="1044"/>
      <c r="AL621" s="1044">
        <v>35.6</v>
      </c>
      <c r="AM621" s="1044">
        <v>3424</v>
      </c>
      <c r="AN621" s="208">
        <f t="shared" si="981"/>
        <v>77.760000000000005</v>
      </c>
      <c r="AO621" s="208">
        <f t="shared" si="982"/>
        <v>18.171296296296294</v>
      </c>
      <c r="AP621" s="1044">
        <v>2228</v>
      </c>
      <c r="AQ621" s="1099">
        <f t="shared" si="985"/>
        <v>133789.02187500001</v>
      </c>
      <c r="AR621" s="76">
        <f t="shared" si="986"/>
        <v>1146.5906249999825</v>
      </c>
      <c r="AS621" s="230">
        <f t="shared" si="987"/>
        <v>47.774609374999272</v>
      </c>
      <c r="AT621" s="208">
        <f t="shared" si="995"/>
        <v>912.26424014205963</v>
      </c>
      <c r="AU621" s="1044"/>
      <c r="AV621" s="230">
        <f t="shared" si="996"/>
        <v>703.67773377050798</v>
      </c>
      <c r="AW621" s="855">
        <f t="shared" si="881"/>
        <v>0.81145833333332096</v>
      </c>
      <c r="AX621" s="1044"/>
      <c r="AY621" s="1044"/>
      <c r="AZ621" s="1044"/>
      <c r="BA621" s="1044"/>
      <c r="BB621" s="1044"/>
      <c r="BC621" s="1044"/>
      <c r="BD621" s="1044"/>
      <c r="BE621" s="1044"/>
      <c r="BF621" s="1044"/>
      <c r="BG621" s="1044"/>
      <c r="BH621" s="1044"/>
      <c r="BI621" s="1044"/>
      <c r="BJ621" s="1044"/>
      <c r="BK621" s="1044"/>
      <c r="BL621" s="1044"/>
      <c r="BM621" s="1044"/>
      <c r="BN621" s="1044"/>
      <c r="BO621" s="1044"/>
      <c r="BP621" s="1044"/>
      <c r="BQ621" s="1044"/>
      <c r="BR621" s="1044"/>
      <c r="BS621" s="1044"/>
      <c r="BT621" s="1044"/>
      <c r="BU621" s="1044"/>
      <c r="BV621" s="1044"/>
      <c r="BW621" s="1044">
        <v>50.6</v>
      </c>
      <c r="BX621" s="1044">
        <v>2117</v>
      </c>
      <c r="BY621" s="1054">
        <f t="shared" si="988"/>
        <v>12</v>
      </c>
      <c r="BZ621" s="1054">
        <f t="shared" si="989"/>
        <v>62.166666666666664</v>
      </c>
      <c r="CA621" s="1044">
        <v>1179</v>
      </c>
      <c r="CB621" s="1099">
        <f t="shared" si="990"/>
        <v>71753.90625</v>
      </c>
      <c r="CC621" s="208">
        <f t="shared" si="991"/>
        <v>429.296875</v>
      </c>
      <c r="CD621" s="208">
        <f t="shared" si="992"/>
        <v>17.887369791666668</v>
      </c>
      <c r="CE621" s="230">
        <f t="shared" si="997"/>
        <v>576.38646430670963</v>
      </c>
      <c r="CF621" s="1044"/>
      <c r="CG621" s="208">
        <f>CC621/(AVERAGE(BY621,BY622)*AVERAGE((D$615,D$612,D$578,D$604,D$583,D$591,D$598,D$568,D$570,D$619))*0.01)</f>
        <v>444.5974128243609</v>
      </c>
      <c r="CH621" s="855">
        <f t="shared" si="915"/>
        <v>0.57546497989276135</v>
      </c>
      <c r="CI621" s="1044"/>
      <c r="CJ621" s="1044"/>
      <c r="CK621" s="1044"/>
      <c r="CL621" s="1044"/>
      <c r="CM621" s="1044"/>
      <c r="CN621" s="1044"/>
    </row>
    <row r="622" spans="1:92">
      <c r="A622" s="1034">
        <f t="shared" si="936"/>
        <v>41777</v>
      </c>
      <c r="B622" s="1035">
        <f t="shared" si="953"/>
        <v>0.33333333333333398</v>
      </c>
      <c r="C622" s="854">
        <f t="shared" si="977"/>
        <v>24</v>
      </c>
      <c r="D622" s="1044"/>
      <c r="E622" s="1044"/>
      <c r="F622" s="1044"/>
      <c r="G622" s="1044"/>
      <c r="H622" s="1044"/>
      <c r="I622" s="1044"/>
      <c r="J622" s="1044"/>
      <c r="K622" s="1044"/>
      <c r="L622" s="1044"/>
      <c r="M622" s="1044"/>
      <c r="N622" s="1044"/>
      <c r="O622" s="1044"/>
      <c r="P622" s="1044"/>
      <c r="Q622" s="1044"/>
      <c r="R622" s="1044"/>
      <c r="S622" s="1044"/>
      <c r="T622" s="1044"/>
      <c r="U622" s="1044"/>
      <c r="V622" s="1044"/>
      <c r="W622" s="1044"/>
      <c r="X622" s="1044"/>
      <c r="Y622" s="1044"/>
      <c r="Z622" s="1044"/>
      <c r="AA622" s="1044"/>
      <c r="AB622" s="1044"/>
      <c r="AC622" s="1044"/>
      <c r="AD622" s="1044"/>
      <c r="AE622" s="1044"/>
      <c r="AF622" s="1044"/>
      <c r="AG622" s="1044"/>
      <c r="AH622" s="1044"/>
      <c r="AI622" s="1044"/>
      <c r="AJ622" s="1044"/>
      <c r="AK622" s="1044"/>
      <c r="AL622" s="1044">
        <v>35.700000000000003</v>
      </c>
      <c r="AM622" s="1044">
        <v>3438</v>
      </c>
      <c r="AN622" s="208">
        <f t="shared" si="981"/>
        <v>30.240000000000002</v>
      </c>
      <c r="AO622" s="208">
        <f t="shared" si="982"/>
        <v>46.726190476190474</v>
      </c>
      <c r="AP622" s="1044">
        <v>2244</v>
      </c>
      <c r="AQ622" s="1099">
        <f t="shared" si="985"/>
        <v>134754.57187500002</v>
      </c>
      <c r="AR622" s="76">
        <f t="shared" si="986"/>
        <v>965.55000000001746</v>
      </c>
      <c r="AS622" s="230">
        <f t="shared" si="987"/>
        <v>40.231250000000728</v>
      </c>
      <c r="AT622" s="208">
        <f t="shared" si="995"/>
        <v>1371.8259250256992</v>
      </c>
      <c r="AU622" s="1044"/>
      <c r="AV622" s="230">
        <f t="shared" si="996"/>
        <v>1058.1620056699719</v>
      </c>
      <c r="AW622" s="855">
        <f t="shared" si="881"/>
        <v>0.68333333333334567</v>
      </c>
      <c r="AX622" s="1044"/>
      <c r="AY622" s="1044"/>
      <c r="AZ622" s="1044"/>
      <c r="BA622" s="1044"/>
      <c r="BB622" s="1044"/>
      <c r="BC622" s="1044"/>
      <c r="BD622" s="1044"/>
      <c r="BE622" s="1044"/>
      <c r="BF622" s="1044"/>
      <c r="BG622" s="1044"/>
      <c r="BH622" s="1044"/>
      <c r="BI622" s="1044"/>
      <c r="BJ622" s="1044"/>
      <c r="BK622" s="1044"/>
      <c r="BL622" s="1044"/>
      <c r="BM622" s="1044"/>
      <c r="BN622" s="1044"/>
      <c r="BO622" s="1044"/>
      <c r="BP622" s="1044"/>
      <c r="BQ622" s="1044"/>
      <c r="BR622" s="1044"/>
      <c r="BS622" s="1044"/>
      <c r="BT622" s="1044"/>
      <c r="BU622" s="1044"/>
      <c r="BV622" s="1044"/>
      <c r="BW622" s="1044">
        <v>50.7</v>
      </c>
      <c r="BX622" s="1044">
        <v>2143</v>
      </c>
      <c r="BY622" s="1054">
        <f t="shared" si="988"/>
        <v>52</v>
      </c>
      <c r="BZ622" s="1054">
        <f t="shared" si="989"/>
        <v>14.346153846153847</v>
      </c>
      <c r="CA622" s="1044">
        <v>1191</v>
      </c>
      <c r="CB622" s="1099">
        <f t="shared" si="990"/>
        <v>72489.84375</v>
      </c>
      <c r="CC622" s="208">
        <f t="shared" si="991"/>
        <v>735.9375</v>
      </c>
      <c r="CD622" s="208">
        <f t="shared" si="992"/>
        <v>30.6640625</v>
      </c>
      <c r="CE622" s="230">
        <f t="shared" si="997"/>
        <v>1129.2469504784515</v>
      </c>
      <c r="CF622" s="1044"/>
      <c r="CG622" s="208">
        <f>CC622/(AVERAGE(BY622,BY623)*AVERAGE((D$615,D$612,D$578,D$604,D$583,D$591,D$598,D$568,D$570,D$619))*0.01)</f>
        <v>871.04799247221729</v>
      </c>
      <c r="CH622" s="855">
        <f t="shared" si="915"/>
        <v>0.98651139410187672</v>
      </c>
      <c r="CI622" s="1044"/>
      <c r="CJ622" s="1044"/>
      <c r="CK622" s="1044"/>
      <c r="CL622" s="1044"/>
      <c r="CM622" s="1044"/>
      <c r="CN622" s="1044"/>
    </row>
    <row r="623" spans="1:92">
      <c r="A623" s="1034">
        <f t="shared" si="936"/>
        <v>41778</v>
      </c>
      <c r="B623" s="1035">
        <f t="shared" si="953"/>
        <v>0.33333333333333398</v>
      </c>
      <c r="C623" s="854">
        <f t="shared" si="977"/>
        <v>24</v>
      </c>
      <c r="D623" s="1044"/>
      <c r="E623" s="1044"/>
      <c r="F623" s="1044"/>
      <c r="G623" s="1044"/>
      <c r="H623" s="1044"/>
      <c r="I623" s="1044"/>
      <c r="J623" s="1044"/>
      <c r="K623" s="1044"/>
      <c r="L623" s="1044"/>
      <c r="M623" s="1044"/>
      <c r="N623" s="1044"/>
      <c r="O623" s="1044"/>
      <c r="P623" s="1044"/>
      <c r="Q623" s="1044"/>
      <c r="R623" s="1044"/>
      <c r="S623" s="1044"/>
      <c r="T623" s="1044"/>
      <c r="U623" s="1044"/>
      <c r="V623" s="1044"/>
      <c r="W623" s="1044"/>
      <c r="X623" s="1044"/>
      <c r="Y623" s="1044"/>
      <c r="Z623" s="1044"/>
      <c r="AA623" s="1044"/>
      <c r="AB623" s="1044"/>
      <c r="AC623" s="1044"/>
      <c r="AD623" s="1044"/>
      <c r="AE623" s="1044"/>
      <c r="AF623" s="1044"/>
      <c r="AG623" s="1044"/>
      <c r="AH623" s="1044"/>
      <c r="AI623" s="1044"/>
      <c r="AJ623" s="1044"/>
      <c r="AK623" s="1044"/>
      <c r="AL623" s="1044">
        <v>35.6</v>
      </c>
      <c r="AM623" s="1044">
        <v>3452</v>
      </c>
      <c r="AN623" s="208">
        <f t="shared" si="981"/>
        <v>30.240000000000002</v>
      </c>
      <c r="AO623" s="208">
        <f t="shared" si="982"/>
        <v>46.726190476190474</v>
      </c>
      <c r="AP623" s="1044">
        <v>2255</v>
      </c>
      <c r="AQ623" s="1099">
        <f t="shared" si="985"/>
        <v>135418.38750000001</v>
      </c>
      <c r="AR623" s="76">
        <f t="shared" si="986"/>
        <v>663.81562499998836</v>
      </c>
      <c r="AS623" s="230">
        <f t="shared" si="987"/>
        <v>27.658984374999516</v>
      </c>
      <c r="AT623" s="208">
        <f t="shared" si="995"/>
        <v>1467.0916142635429</v>
      </c>
      <c r="AU623" s="1044"/>
      <c r="AV623" s="230">
        <f t="shared" si="996"/>
        <v>1131.6454782859018</v>
      </c>
      <c r="AW623" s="855">
        <f t="shared" si="881"/>
        <v>0.46979166666665845</v>
      </c>
      <c r="AX623" s="1044"/>
      <c r="AY623" s="1044"/>
      <c r="AZ623" s="1044"/>
      <c r="BA623" s="1044"/>
      <c r="BB623" s="1044"/>
      <c r="BC623" s="1044"/>
      <c r="BD623" s="1044"/>
      <c r="BE623" s="1044"/>
      <c r="BF623" s="1044"/>
      <c r="BG623" s="1044"/>
      <c r="BH623" s="1044"/>
      <c r="BI623" s="1044"/>
      <c r="BJ623" s="1044"/>
      <c r="BK623" s="1044"/>
      <c r="BL623" s="1044"/>
      <c r="BM623" s="1044"/>
      <c r="BN623" s="1044"/>
      <c r="BO623" s="1044"/>
      <c r="BP623" s="1044"/>
      <c r="BQ623" s="1044"/>
      <c r="BR623" s="1044"/>
      <c r="BS623" s="1044"/>
      <c r="BT623" s="1044"/>
      <c r="BU623" s="1044"/>
      <c r="BV623" s="1044"/>
      <c r="BW623" s="1044">
        <v>50.8</v>
      </c>
      <c r="BX623" s="1044">
        <v>2145</v>
      </c>
      <c r="BY623" s="1054">
        <f t="shared" si="988"/>
        <v>4</v>
      </c>
      <c r="BZ623" s="1054">
        <f t="shared" si="989"/>
        <v>186.5</v>
      </c>
      <c r="CA623" s="1044">
        <v>1198</v>
      </c>
      <c r="CB623" s="1099">
        <f t="shared" si="990"/>
        <v>72919.140625</v>
      </c>
      <c r="CC623" s="208">
        <f t="shared" si="991"/>
        <v>429.296875</v>
      </c>
      <c r="CD623" s="208">
        <f t="shared" si="992"/>
        <v>17.887369791666668</v>
      </c>
      <c r="CE623" s="230">
        <f t="shared" si="997"/>
        <v>9222.183428907354</v>
      </c>
      <c r="CF623" s="1044"/>
      <c r="CG623" s="208">
        <f>CC623/(AVERAGE(BY623,BY624)*AVERAGE((D$615,D$612,D$578,D$604,D$583,D$591,D$598,D$568,D$570,D$619))*0.01)</f>
        <v>7113.5586051897744</v>
      </c>
      <c r="CH623" s="855">
        <f t="shared" si="915"/>
        <v>0.57546497989276135</v>
      </c>
      <c r="CI623" s="1044"/>
      <c r="CJ623" s="1044"/>
      <c r="CK623" s="1044"/>
      <c r="CL623" s="1044"/>
      <c r="CM623" s="1044"/>
      <c r="CN623" s="1044"/>
    </row>
    <row r="624" spans="1:92" ht="15">
      <c r="A624" s="1034">
        <f t="shared" si="936"/>
        <v>41779</v>
      </c>
      <c r="B624" s="1035">
        <f t="shared" si="953"/>
        <v>0.33333333333333398</v>
      </c>
      <c r="C624" s="854">
        <f t="shared" si="977"/>
        <v>24</v>
      </c>
      <c r="D624" s="1044"/>
      <c r="E624" s="1044"/>
      <c r="F624" s="1044"/>
      <c r="G624" s="1044"/>
      <c r="H624" s="1044"/>
      <c r="I624" s="1044"/>
      <c r="J624" s="1044"/>
      <c r="K624" s="1044"/>
      <c r="L624" s="1044"/>
      <c r="M624" s="1044">
        <v>65</v>
      </c>
      <c r="N624" s="1044">
        <v>85</v>
      </c>
      <c r="O624" s="1044"/>
      <c r="P624" s="1044">
        <v>700</v>
      </c>
      <c r="Q624" s="210">
        <f t="shared" ref="Q624" si="998">P624/((N624-M624)*N$4)</f>
        <v>6.9665605095541396</v>
      </c>
      <c r="R624" s="225">
        <f t="shared" ref="R624" si="999">10*Q624/(AVERAGE(D$261,D$262))</f>
        <v>23.144719300844319</v>
      </c>
      <c r="S624" s="1044"/>
      <c r="T624" s="1044"/>
      <c r="U624" s="1044"/>
      <c r="V624" s="1044"/>
      <c r="W624" s="1044"/>
      <c r="X624" s="1044"/>
      <c r="Y624" s="1044"/>
      <c r="Z624" s="1044"/>
      <c r="AA624" s="1044"/>
      <c r="AB624" s="1044"/>
      <c r="AC624" s="1044"/>
      <c r="AD624" s="1044"/>
      <c r="AE624" s="1044"/>
      <c r="AF624" s="1044"/>
      <c r="AG624" s="1044"/>
      <c r="AH624" s="1044"/>
      <c r="AI624" s="1044"/>
      <c r="AJ624" s="1044"/>
      <c r="AK624" s="1044"/>
      <c r="AL624" s="1044">
        <v>35.700000000000003</v>
      </c>
      <c r="AM624" s="1044">
        <v>3456</v>
      </c>
      <c r="AN624" s="208">
        <f t="shared" si="981"/>
        <v>8.64</v>
      </c>
      <c r="AO624" s="208">
        <f t="shared" si="982"/>
        <v>163.54166666666666</v>
      </c>
      <c r="AP624" s="1044">
        <v>2265</v>
      </c>
      <c r="AQ624" s="1099">
        <f t="shared" si="985"/>
        <v>136021.85625000001</v>
      </c>
      <c r="AR624" s="76">
        <f t="shared" si="986"/>
        <v>603.46875</v>
      </c>
      <c r="AS624" s="230">
        <f t="shared" si="987"/>
        <v>25.14453125</v>
      </c>
      <c r="AT624" s="208">
        <f t="shared" si="995"/>
        <v>6001.7384219873265</v>
      </c>
      <c r="AU624" s="1044"/>
      <c r="AV624" s="230">
        <f t="shared" si="996"/>
        <v>4629.4587748060439</v>
      </c>
      <c r="AW624" s="855">
        <f t="shared" si="881"/>
        <v>0.42708333333333331</v>
      </c>
      <c r="AX624" s="1044"/>
      <c r="AY624" s="1044"/>
      <c r="AZ624" s="1044"/>
      <c r="BA624" s="1044"/>
      <c r="BB624" s="1044"/>
      <c r="BC624" s="1044"/>
      <c r="BD624" s="1044"/>
      <c r="BE624" s="1044"/>
      <c r="BF624" s="1044"/>
      <c r="BG624" s="1044"/>
      <c r="BH624" s="1044"/>
      <c r="BI624" s="1044"/>
      <c r="BJ624" s="1044"/>
      <c r="BK624" s="1044"/>
      <c r="BL624" s="1044"/>
      <c r="BM624" s="1044"/>
      <c r="BN624" s="1044"/>
      <c r="BO624" s="1044"/>
      <c r="BP624" s="1044"/>
      <c r="BQ624" s="1044"/>
      <c r="BR624" s="1044"/>
      <c r="BS624" s="1044"/>
      <c r="BT624" s="1044"/>
      <c r="BU624" s="1044"/>
      <c r="BV624" s="1044"/>
      <c r="BW624" s="1044">
        <v>50.6</v>
      </c>
      <c r="BX624" s="1044">
        <v>2145</v>
      </c>
      <c r="BY624" s="1054">
        <f t="shared" si="988"/>
        <v>0</v>
      </c>
      <c r="BZ624" s="1054"/>
      <c r="CA624" s="1044">
        <v>1201</v>
      </c>
      <c r="CB624" s="1099">
        <f t="shared" si="990"/>
        <v>73103.125</v>
      </c>
      <c r="CC624" s="208">
        <f t="shared" si="991"/>
        <v>183.984375</v>
      </c>
      <c r="CD624" s="208">
        <f t="shared" si="992"/>
        <v>7.666015625</v>
      </c>
      <c r="CE624" s="230"/>
      <c r="CF624" s="1044"/>
      <c r="CG624" s="208"/>
      <c r="CH624" s="855">
        <f t="shared" si="915"/>
        <v>0.24662784852546918</v>
      </c>
      <c r="CI624" s="1044"/>
      <c r="CJ624" s="1044"/>
      <c r="CK624" s="1044"/>
      <c r="CL624" s="1044"/>
      <c r="CM624" s="1044"/>
      <c r="CN624" s="1044"/>
    </row>
    <row r="625" spans="1:92">
      <c r="A625" s="1034">
        <f t="shared" si="936"/>
        <v>41780</v>
      </c>
      <c r="B625" s="1035">
        <f t="shared" si="953"/>
        <v>0.33333333333333398</v>
      </c>
      <c r="C625" s="854">
        <f t="shared" si="977"/>
        <v>24</v>
      </c>
      <c r="D625" s="1044"/>
      <c r="E625" s="1044"/>
      <c r="F625" s="1044"/>
      <c r="G625" s="1044"/>
      <c r="H625" s="1044"/>
      <c r="I625" s="1044"/>
      <c r="J625" s="1044"/>
      <c r="K625" s="1044"/>
      <c r="L625" s="1044"/>
      <c r="M625" s="1044"/>
      <c r="N625" s="1044"/>
      <c r="O625" s="1044"/>
      <c r="P625" s="1044"/>
      <c r="Q625" s="1044"/>
      <c r="R625" s="1044"/>
      <c r="S625" s="1044"/>
      <c r="T625" s="1044"/>
      <c r="U625" s="1044"/>
      <c r="V625" s="1044"/>
      <c r="W625" s="1044"/>
      <c r="X625" s="1044"/>
      <c r="Y625" s="1044"/>
      <c r="Z625" s="1044"/>
      <c r="AA625" s="1044"/>
      <c r="AB625" s="1044"/>
      <c r="AC625" s="1044"/>
      <c r="AD625" s="1044"/>
      <c r="AE625" s="1044"/>
      <c r="AF625" s="1044"/>
      <c r="AG625" s="1044"/>
      <c r="AH625" s="1044"/>
      <c r="AI625" s="1044"/>
      <c r="AJ625" s="1044"/>
      <c r="AK625" s="1044"/>
      <c r="AL625" s="1044">
        <v>35.799999999999997</v>
      </c>
      <c r="AM625" s="1044">
        <v>3456</v>
      </c>
      <c r="AN625" s="208">
        <f t="shared" si="981"/>
        <v>0</v>
      </c>
      <c r="AO625" s="208"/>
      <c r="AP625" s="1044">
        <v>2271</v>
      </c>
      <c r="AQ625" s="1099">
        <f t="shared" si="985"/>
        <v>136383.9375</v>
      </c>
      <c r="AR625" s="76">
        <f t="shared" si="986"/>
        <v>362.08124999998836</v>
      </c>
      <c r="AS625" s="230">
        <f t="shared" si="987"/>
        <v>15.086718749999514</v>
      </c>
      <c r="AT625" s="208">
        <f t="shared" si="995"/>
        <v>900.26076329807006</v>
      </c>
      <c r="AU625" s="1044"/>
      <c r="AV625" s="230">
        <f t="shared" si="996"/>
        <v>694.4188162208842</v>
      </c>
      <c r="AW625" s="855">
        <f t="shared" si="881"/>
        <v>0.25624999999999176</v>
      </c>
      <c r="AX625" s="1044"/>
      <c r="AY625" s="1044"/>
      <c r="AZ625" s="1044"/>
      <c r="BA625" s="1044"/>
      <c r="BB625" s="1044"/>
      <c r="BC625" s="1044"/>
      <c r="BD625" s="1044"/>
      <c r="BE625" s="1044"/>
      <c r="BF625" s="1044"/>
      <c r="BG625" s="1044"/>
      <c r="BH625" s="1044"/>
      <c r="BI625" s="1044"/>
      <c r="BJ625" s="1044"/>
      <c r="BK625" s="1044"/>
      <c r="BL625" s="1044"/>
      <c r="BM625" s="1044"/>
      <c r="BN625" s="1044"/>
      <c r="BO625" s="1044"/>
      <c r="BP625" s="1044"/>
      <c r="BQ625" s="1044"/>
      <c r="BR625" s="1044"/>
      <c r="BS625" s="1044"/>
      <c r="BT625" s="1044"/>
      <c r="BU625" s="1044"/>
      <c r="BV625" s="1044"/>
      <c r="BW625" s="1044">
        <v>50.4</v>
      </c>
      <c r="BX625" s="1044">
        <v>2145</v>
      </c>
      <c r="BY625" s="1054">
        <f t="shared" si="988"/>
        <v>0</v>
      </c>
      <c r="BZ625" s="1054"/>
      <c r="CA625" s="1044">
        <v>1203</v>
      </c>
      <c r="CB625" s="1099">
        <f t="shared" si="990"/>
        <v>73225.78125</v>
      </c>
      <c r="CC625" s="208">
        <f t="shared" si="991"/>
        <v>122.65625</v>
      </c>
      <c r="CD625" s="208">
        <f t="shared" si="992"/>
        <v>5.110677083333333</v>
      </c>
      <c r="CE625" s="230">
        <f t="shared" si="997"/>
        <v>195.17848526788052</v>
      </c>
      <c r="CF625" s="1044"/>
      <c r="CG625" s="208">
        <f>CC625/(AVERAGE(BY625,BY626)*AVERAGE((D$615,D$612,D$578,D$604,D$583,D$591,D$598,D$568,D$570,D$619))*0.01)</f>
        <v>150.55150487174126</v>
      </c>
      <c r="CH625" s="855">
        <f t="shared" si="915"/>
        <v>0.1644185656836461</v>
      </c>
      <c r="CI625" s="1044"/>
      <c r="CJ625" s="1044"/>
      <c r="CK625" s="1044"/>
      <c r="CL625" s="1044"/>
      <c r="CM625" s="1044"/>
      <c r="CN625" s="1044"/>
    </row>
    <row r="626" spans="1:92" s="337" customFormat="1">
      <c r="A626" s="1036">
        <f t="shared" si="936"/>
        <v>41781</v>
      </c>
      <c r="B626" s="1037">
        <f t="shared" si="953"/>
        <v>0.33333333333333398</v>
      </c>
      <c r="C626" s="847">
        <f t="shared" si="977"/>
        <v>24</v>
      </c>
      <c r="D626" s="1023">
        <v>3.1</v>
      </c>
      <c r="E626" s="1023">
        <v>74.8</v>
      </c>
      <c r="F626" s="1023">
        <v>38600</v>
      </c>
      <c r="G626" s="1023"/>
      <c r="H626" s="1023"/>
      <c r="I626" s="1023">
        <v>9492</v>
      </c>
      <c r="J626" s="1023"/>
      <c r="K626" s="1023"/>
      <c r="L626" s="1023"/>
      <c r="M626" s="1023"/>
      <c r="N626" s="1023"/>
      <c r="O626" s="1023"/>
      <c r="P626" s="1023"/>
      <c r="Q626" s="1023"/>
      <c r="R626" s="1023"/>
      <c r="S626" s="1023"/>
      <c r="T626" s="1023"/>
      <c r="U626" s="1023"/>
      <c r="V626" s="1098">
        <v>2</v>
      </c>
      <c r="W626" s="1023">
        <v>66.2</v>
      </c>
      <c r="X626" s="1023">
        <v>22700</v>
      </c>
      <c r="Y626" s="1023"/>
      <c r="Z626" s="1023">
        <v>2426</v>
      </c>
      <c r="AA626" s="1023"/>
      <c r="AB626" s="1023"/>
      <c r="AC626" s="1023"/>
      <c r="AD626" s="1021">
        <f>D619*(100-E619)/(100-W626)</f>
        <v>2.2011834319526629</v>
      </c>
      <c r="AE626" s="1055">
        <f>D619-V626</f>
        <v>1.1000000000000001</v>
      </c>
      <c r="AF626" s="847">
        <f>100*(AVERAGE(D$615,D$612,D$578,D$604,D$583,D$591,D$598,D$626,D$570,D$619)-V626)/AVERAGE(D$615,D$612,D$578,D$604,D$583,D$591,D$598,D$626,D$570,D$619)</f>
        <v>33.730947647448659</v>
      </c>
      <c r="AG626" s="847">
        <f>100*(1-((100-AVERAGE(E$615,E$612,E$578,E$604,E$583,E$591,E$598,E$626,E$570,E$619))/(100-W626)))</f>
        <v>32.893491124260343</v>
      </c>
      <c r="AH626" s="1055">
        <f>E619-W626</f>
        <v>9.7999999999999972</v>
      </c>
      <c r="AI626" s="847">
        <f>100*(1-((V626*W626)/(AVERAGE(D$615,D$612,D$578,D$604,D$583,D$591,D$598,D$626,D$570,D$619)*AVERAGE(E$615,E$612,E$578,E$604,E$583,E$591,E$598,E$626,E$570,E$619))))</f>
        <v>43.260155904978149</v>
      </c>
      <c r="AJ626" s="847">
        <f>100*100*((AVERAGE(E$615,E$612,E$578,E$604,E$583,E$591,E$598,E$626,E$570,E$619)-W626)/((100-W626)*AVERAGE(E$615,E$612,E$578,E$604,E$583,E$591,E$598,E$626,E$570,E$619)))</f>
        <v>42.543122072816601</v>
      </c>
      <c r="AK626" s="1023"/>
      <c r="AL626" s="1023">
        <v>35.6</v>
      </c>
      <c r="AM626" s="1023">
        <v>3472</v>
      </c>
      <c r="AN626" s="208">
        <f t="shared" si="981"/>
        <v>34.56</v>
      </c>
      <c r="AO626" s="208">
        <f t="shared" si="982"/>
        <v>40.885416666666664</v>
      </c>
      <c r="AP626" s="1023">
        <v>2283</v>
      </c>
      <c r="AQ626" s="1099">
        <f t="shared" si="985"/>
        <v>137108.1</v>
      </c>
      <c r="AR626" s="76">
        <f t="shared" si="986"/>
        <v>724.16250000000582</v>
      </c>
      <c r="AS626" s="230">
        <f t="shared" si="987"/>
        <v>30.173437500000244</v>
      </c>
      <c r="AT626" s="208">
        <f>AR626/(AVERAGE(AN626,AN627)*(AVERAGE(D$615,D$612,D$578,D$604,D$583,D$591,D$598,D$626,D$570,D$619))*AVERAGE(E$615,E$612,E$578,E$604,E$583,E$591,E$598,E$626,E$570,E$619)*0.0001)</f>
        <v>638.55736062097617</v>
      </c>
      <c r="AU626" s="597">
        <f>(AQ626-AQ620)/(AVERAGE(AN620:AN626)*((AVERAGE(D$615,D$612,D$578,D$604,D$583,D$591,D$598,D$626,D$570,D$619)*AVERAGE(E$615,E$612,E$578,E$604,E$583,E$591,E$598,E$626,E$570,E$619))-(V626*W626))*0.0001*(SUM(C620:C626)/24))</f>
        <v>1969.2982165490441</v>
      </c>
      <c r="AV626" s="230">
        <f>AR626/(AVERAGE(AN627,AN626)*AVERAGE(D$615,D$612,D$578,D$604,D$583,D$591,D$598,D$626,D$570,D$619)*0.01)</f>
        <v>493.71978008492641</v>
      </c>
      <c r="AW626" s="855">
        <f t="shared" si="881"/>
        <v>0.51250000000000417</v>
      </c>
      <c r="AX626" s="1023"/>
      <c r="AY626" s="1023"/>
      <c r="AZ626" s="1023"/>
      <c r="BA626" s="1023"/>
      <c r="BB626" s="1023"/>
      <c r="BC626" s="1023"/>
      <c r="BD626" s="1023"/>
      <c r="BE626" s="1023"/>
      <c r="BF626" s="1023"/>
      <c r="BG626" s="1023">
        <v>2.2000000000000002</v>
      </c>
      <c r="BH626" s="1023">
        <v>63.2</v>
      </c>
      <c r="BI626" s="1023">
        <v>21500</v>
      </c>
      <c r="BJ626" s="1023"/>
      <c r="BK626" s="1023">
        <v>3294</v>
      </c>
      <c r="BL626" s="1023"/>
      <c r="BM626" s="1023"/>
      <c r="BN626" s="1023"/>
      <c r="BO626" s="847">
        <f>D619*(100-E619)/(100-BH626)</f>
        <v>2.0217391304347827</v>
      </c>
      <c r="BP626" s="1055">
        <f>D619-BG626</f>
        <v>0.89999999999999991</v>
      </c>
      <c r="BQ626" s="1056">
        <f>100*(AVERAGE(D$615,D$612,D$578,D$604,D$583,D$591,D$598,D$626,D$570,D$619)-BG626)/AVERAGE(D$615,D$612,D$578,D$604,D$583,D$591,D$598,D$626,D$570,D$619)</f>
        <v>27.104042412193518</v>
      </c>
      <c r="BR626" s="1056">
        <f>100*(1-((100-AVERAGE(E$615,E$612,E$578,E$604,E$583,E$591,E$598,E$626,E$570,E$619))/(100-BH626)))</f>
        <v>38.364130434782595</v>
      </c>
      <c r="BS626" s="1055">
        <f>E619-BH626</f>
        <v>12.799999999999997</v>
      </c>
      <c r="BT626" s="1055">
        <f>100*(1-((BG626*BH626)/(AVERAGE(D$615,D$612,D$578,D$604,D$583,D$591,D$598,D$626,D$570,D$619)*AVERAGE(E$615,E$612,E$578,E$604,E$583,E$591,E$598,E$626,E$570,E$619))))</f>
        <v>40.414592726798801</v>
      </c>
      <c r="BU626" s="847">
        <f>100*100*((AVERAGE(E$615,E$612,E$578,E$604,E$583,E$591,E$598,E$626,E$570,E$619)-BH626)/((100-BH626)*AVERAGE(E$615,E$612,E$578,E$604,E$583,E$591,E$598,E$626,E$570,E$619)))</f>
        <v>49.618627531470814</v>
      </c>
      <c r="BV626" s="1023"/>
      <c r="BW626" s="1023">
        <v>50.7</v>
      </c>
      <c r="BX626" s="1023">
        <v>2172</v>
      </c>
      <c r="BY626" s="1054">
        <f t="shared" si="988"/>
        <v>54</v>
      </c>
      <c r="BZ626" s="1054">
        <f t="shared" si="989"/>
        <v>13.814814814814815</v>
      </c>
      <c r="CA626" s="1023">
        <v>1208</v>
      </c>
      <c r="CB626" s="1099">
        <f t="shared" si="990"/>
        <v>73532.421875</v>
      </c>
      <c r="CC626" s="208">
        <f t="shared" si="991"/>
        <v>306.640625</v>
      </c>
      <c r="CD626" s="208">
        <f t="shared" si="992"/>
        <v>12.776692708333334</v>
      </c>
      <c r="CE626" s="230">
        <f>CC626/(AVERAGE(BY627,BY626)*(AVERAGE(D$615,D$612,D$578,D$604,D$583,D$591,D$598,D$626,D$570,D$619))*AVERAGE(E$615,E$612,E$578,E$604,E$583,E$591,E$598,E$626,E$570,E$619)*0.0001)</f>
        <v>345.8169274864855</v>
      </c>
      <c r="CF626" s="334">
        <f>(CB626-CB620)/(AVERAGE(BY620:BY626)*((AVERAGE(D$615,D$612,D$578,D$604,D$583,D$591,D$598,D$626,D$570,D$619)*AVERAGE(E$615,E$612,E$578,E$604,E$583,E$591,E$598,E$626,E$570,E$619))-(BG626*BH626))*0.0001*(SUM(C620:C626)/24))</f>
        <v>1520.2093995052517</v>
      </c>
      <c r="CG626" s="208">
        <f>CC626/(AVERAGE(BY626,BY627)*AVERAGE((D$615,D$612,D$578,D$604,D$583,D$591,D$598,D$626,D$570,D$619))*0.01)</f>
        <v>267.37873199400082</v>
      </c>
      <c r="CH626" s="855">
        <f t="shared" si="915"/>
        <v>0.41104641420911531</v>
      </c>
      <c r="CI626" s="1023"/>
      <c r="CJ626" s="1023"/>
      <c r="CK626" s="1023"/>
      <c r="CL626" s="1023"/>
      <c r="CM626" s="1023"/>
      <c r="CN626" s="1023"/>
    </row>
    <row r="627" spans="1:92" ht="15">
      <c r="A627" s="1034">
        <f t="shared" si="936"/>
        <v>41782</v>
      </c>
      <c r="B627" s="1035">
        <f t="shared" si="953"/>
        <v>0.33333333333333398</v>
      </c>
      <c r="C627" s="854">
        <f t="shared" si="977"/>
        <v>24</v>
      </c>
      <c r="D627" s="110"/>
      <c r="E627" s="110"/>
      <c r="F627" s="110"/>
      <c r="G627" s="110"/>
      <c r="H627" s="110"/>
      <c r="I627" s="110"/>
      <c r="J627" s="110"/>
      <c r="K627" s="110"/>
      <c r="L627" s="110"/>
      <c r="M627" s="110">
        <v>55</v>
      </c>
      <c r="N627" s="110">
        <v>85</v>
      </c>
      <c r="O627" s="110"/>
      <c r="P627" s="110">
        <v>1050</v>
      </c>
      <c r="Q627" s="210">
        <f t="shared" ref="Q627" si="1000">P627/((N627-M627)*N$4)</f>
        <v>6.9665605095541405</v>
      </c>
      <c r="R627" s="225">
        <f t="shared" ref="R627" si="1001">10*Q627/(AVERAGE(D$261,D$262))</f>
        <v>23.144719300844322</v>
      </c>
      <c r="S627" s="110"/>
      <c r="T627" s="110"/>
      <c r="U627" s="110"/>
      <c r="V627" s="110"/>
      <c r="W627" s="110"/>
      <c r="X627" s="110"/>
      <c r="Y627" s="110"/>
      <c r="Z627" s="110"/>
      <c r="AA627" s="110"/>
      <c r="AB627" s="110"/>
      <c r="AC627" s="110"/>
      <c r="AD627" s="110"/>
      <c r="AE627" s="110"/>
      <c r="AF627" s="110"/>
      <c r="AG627" s="110"/>
      <c r="AH627" s="110"/>
      <c r="AI627" s="110"/>
      <c r="AJ627" s="110"/>
      <c r="AK627" s="110"/>
      <c r="AL627" s="110">
        <v>35.799999999999997</v>
      </c>
      <c r="AM627" s="110">
        <v>3501</v>
      </c>
      <c r="AN627" s="208">
        <f t="shared" si="981"/>
        <v>62.64</v>
      </c>
      <c r="AO627" s="208">
        <f t="shared" si="982"/>
        <v>22.557471264367816</v>
      </c>
      <c r="AP627" s="110">
        <v>2300</v>
      </c>
      <c r="AQ627" s="1099">
        <f t="shared" si="985"/>
        <v>138133.99687500001</v>
      </c>
      <c r="AR627" s="76">
        <f t="shared" si="986"/>
        <v>1025.8968750000058</v>
      </c>
      <c r="AS627" s="230">
        <f t="shared" si="987"/>
        <v>42.74570312500024</v>
      </c>
      <c r="AT627" s="208">
        <f t="shared" ref="AT627:AT632" si="1002">AR627/(AVERAGE(AN627,AN628)*(AVERAGE(D$615,D$612,D$578,D$604,D$583,D$591,D$598,D$626,D$570,D$619))*AVERAGE(E$615,E$612,E$578,E$604,E$583,E$591,E$598,E$626,E$570,E$619)*0.0001)</f>
        <v>830.77615795075792</v>
      </c>
      <c r="AU627" s="110"/>
      <c r="AV627" s="230">
        <f t="shared" ref="AV627:AV632" si="1003">AR627/(AVERAGE(AN628,AN627)*AVERAGE(D$615,D$612,D$578,D$604,D$583,D$591,D$598,D$626,D$570,D$619)*0.01)</f>
        <v>642.33950980436703</v>
      </c>
      <c r="AW627" s="855">
        <f t="shared" si="881"/>
        <v>0.7260416666666708</v>
      </c>
      <c r="AX627" s="110"/>
      <c r="AY627" s="110"/>
      <c r="AZ627" s="110"/>
      <c r="BA627" s="110"/>
      <c r="BB627" s="110"/>
      <c r="BC627" s="110"/>
      <c r="BD627" s="110"/>
      <c r="BE627" s="110"/>
      <c r="BF627" s="110"/>
      <c r="BG627" s="110"/>
      <c r="BH627" s="110"/>
      <c r="BI627" s="110"/>
      <c r="BJ627" s="110"/>
      <c r="BK627" s="110"/>
      <c r="BL627" s="110"/>
      <c r="BM627" s="110"/>
      <c r="BN627" s="110"/>
      <c r="BO627" s="110"/>
      <c r="BP627" s="110"/>
      <c r="BQ627" s="110"/>
      <c r="BR627" s="110"/>
      <c r="BS627" s="110"/>
      <c r="BT627" s="110"/>
      <c r="BU627" s="110"/>
      <c r="BV627" s="110"/>
      <c r="BW627" s="110">
        <v>50.7</v>
      </c>
      <c r="BX627" s="110">
        <v>2183</v>
      </c>
      <c r="BY627" s="1054">
        <f t="shared" si="988"/>
        <v>22</v>
      </c>
      <c r="BZ627" s="1054">
        <f t="shared" si="989"/>
        <v>33.909090909090907</v>
      </c>
      <c r="CA627" s="110">
        <v>1217</v>
      </c>
      <c r="CB627" s="1099">
        <f t="shared" si="990"/>
        <v>74084.375</v>
      </c>
      <c r="CC627" s="208">
        <f t="shared" si="991"/>
        <v>551.953125</v>
      </c>
      <c r="CD627" s="208">
        <f t="shared" si="992"/>
        <v>22.998046875</v>
      </c>
      <c r="CE627" s="230">
        <f t="shared" ref="CE627:CE632" si="1004">CC627/(AVERAGE(BY628,BY627)*(AVERAGE(D$615,D$612,D$578,D$604,D$583,D$591,D$598,D$626,D$570,D$619))*AVERAGE(E$615,E$612,E$578,E$604,E$583,E$591,E$598,E$626,E$570,E$619)*0.0001)</f>
        <v>763.02831742179376</v>
      </c>
      <c r="CF627" s="110"/>
      <c r="CG627" s="208">
        <f>CC627/(AVERAGE(BY627,BY628)*AVERAGE((D$615,D$612,D$578,D$604,D$583,D$591,D$598,D$626,D$570,D$619))*0.01)</f>
        <v>589.95823446418251</v>
      </c>
      <c r="CH627" s="855">
        <f t="shared" si="915"/>
        <v>0.73988354557640745</v>
      </c>
      <c r="CI627" s="110"/>
      <c r="CJ627" s="110"/>
      <c r="CK627" s="110"/>
      <c r="CL627" s="110"/>
      <c r="CM627" s="110"/>
      <c r="CN627" s="110"/>
    </row>
    <row r="628" spans="1:92">
      <c r="A628" s="1034">
        <f t="shared" si="936"/>
        <v>41783</v>
      </c>
      <c r="B628" s="1035">
        <f t="shared" si="953"/>
        <v>0.33333333333333398</v>
      </c>
      <c r="C628" s="854">
        <f t="shared" si="977"/>
        <v>24</v>
      </c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  <c r="AA628" s="110"/>
      <c r="AB628" s="110"/>
      <c r="AC628" s="110"/>
      <c r="AD628" s="110"/>
      <c r="AE628" s="110"/>
      <c r="AF628" s="110"/>
      <c r="AG628" s="110"/>
      <c r="AH628" s="110"/>
      <c r="AI628" s="110"/>
      <c r="AJ628" s="110"/>
      <c r="AK628" s="110"/>
      <c r="AL628" s="110">
        <v>35.799999999999997</v>
      </c>
      <c r="AM628" s="110">
        <v>3521</v>
      </c>
      <c r="AN628" s="208">
        <f t="shared" si="981"/>
        <v>43.2</v>
      </c>
      <c r="AO628" s="208">
        <f t="shared" si="982"/>
        <v>32.708333333333329</v>
      </c>
      <c r="AP628" s="110">
        <v>2314</v>
      </c>
      <c r="AQ628" s="1099">
        <f t="shared" si="985"/>
        <v>138978.85312500002</v>
      </c>
      <c r="AR628" s="76">
        <f t="shared" si="986"/>
        <v>844.85625000001164</v>
      </c>
      <c r="AS628" s="230">
        <f t="shared" si="987"/>
        <v>35.202343750000487</v>
      </c>
      <c r="AT628" s="208">
        <f t="shared" si="1002"/>
        <v>1117.4753810867146</v>
      </c>
      <c r="AU628" s="110"/>
      <c r="AV628" s="230">
        <f t="shared" si="1003"/>
        <v>864.00961514862604</v>
      </c>
      <c r="AW628" s="855">
        <f t="shared" si="881"/>
        <v>0.59791666666667487</v>
      </c>
      <c r="AX628" s="110"/>
      <c r="AY628" s="110"/>
      <c r="AZ628" s="110"/>
      <c r="BA628" s="110"/>
      <c r="BB628" s="110"/>
      <c r="BC628" s="110"/>
      <c r="BD628" s="110"/>
      <c r="BE628" s="110"/>
      <c r="BF628" s="110"/>
      <c r="BG628" s="110"/>
      <c r="BH628" s="110"/>
      <c r="BI628" s="110"/>
      <c r="BJ628" s="110"/>
      <c r="BK628" s="110"/>
      <c r="BL628" s="110"/>
      <c r="BM628" s="110"/>
      <c r="BN628" s="110"/>
      <c r="BO628" s="110"/>
      <c r="BP628" s="110"/>
      <c r="BQ628" s="110"/>
      <c r="BR628" s="110"/>
      <c r="BS628" s="110"/>
      <c r="BT628" s="110"/>
      <c r="BU628" s="110"/>
      <c r="BV628" s="110"/>
      <c r="BW628" s="110">
        <v>50.4</v>
      </c>
      <c r="BX628" s="110">
        <v>2203</v>
      </c>
      <c r="BY628" s="1054">
        <f t="shared" si="988"/>
        <v>40</v>
      </c>
      <c r="BZ628" s="1054">
        <f t="shared" si="989"/>
        <v>18.649999999999999</v>
      </c>
      <c r="CA628" s="110">
        <v>1227</v>
      </c>
      <c r="CB628" s="1099">
        <f t="shared" si="990"/>
        <v>74697.65625</v>
      </c>
      <c r="CC628" s="208">
        <f t="shared" si="991"/>
        <v>613.28125</v>
      </c>
      <c r="CD628" s="208">
        <f t="shared" si="992"/>
        <v>25.553385416666668</v>
      </c>
      <c r="CE628" s="230">
        <f t="shared" si="1004"/>
        <v>796.42686330220909</v>
      </c>
      <c r="CF628" s="110"/>
      <c r="CG628" s="208">
        <f>CC628/(AVERAGE(BY628,BY629)*AVERAGE((D$615,D$612,D$578,D$604,D$583,D$591,D$598,D$626,D$570,D$619))*0.01)</f>
        <v>615.78132216800191</v>
      </c>
      <c r="CH628" s="855">
        <f t="shared" si="915"/>
        <v>0.82209282841823061</v>
      </c>
      <c r="CI628" s="110"/>
      <c r="CJ628" s="110"/>
      <c r="CK628" s="110"/>
      <c r="CL628" s="110"/>
      <c r="CM628" s="110"/>
      <c r="CN628" s="110"/>
    </row>
    <row r="629" spans="1:92">
      <c r="A629" s="1034">
        <f t="shared" si="936"/>
        <v>41784</v>
      </c>
      <c r="B629" s="1035">
        <f t="shared" si="953"/>
        <v>0.33333333333333398</v>
      </c>
      <c r="C629" s="854">
        <f t="shared" si="977"/>
        <v>24</v>
      </c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  <c r="AA629" s="110"/>
      <c r="AB629" s="110"/>
      <c r="AC629" s="110"/>
      <c r="AD629" s="110"/>
      <c r="AE629" s="110"/>
      <c r="AF629" s="110"/>
      <c r="AG629" s="110"/>
      <c r="AH629" s="110"/>
      <c r="AI629" s="110"/>
      <c r="AJ629" s="110"/>
      <c r="AK629" s="110"/>
      <c r="AL629" s="110">
        <v>35.700000000000003</v>
      </c>
      <c r="AM629" s="110">
        <v>3531</v>
      </c>
      <c r="AN629" s="208">
        <f t="shared" si="981"/>
        <v>21.6</v>
      </c>
      <c r="AO629" s="208">
        <f t="shared" si="982"/>
        <v>65.416666666666657</v>
      </c>
      <c r="AP629" s="110">
        <v>2327</v>
      </c>
      <c r="AQ629" s="1099">
        <f t="shared" si="985"/>
        <v>139763.36250000002</v>
      </c>
      <c r="AR629" s="76">
        <f t="shared" si="986"/>
        <v>784.50937499999418</v>
      </c>
      <c r="AS629" s="230">
        <f t="shared" si="987"/>
        <v>32.68789062499976</v>
      </c>
      <c r="AT629" s="208">
        <f t="shared" si="1002"/>
        <v>1638.4037542248477</v>
      </c>
      <c r="AU629" s="110"/>
      <c r="AV629" s="230">
        <f t="shared" si="1003"/>
        <v>1266.7810146915679</v>
      </c>
      <c r="AW629" s="855">
        <f t="shared" si="881"/>
        <v>0.5552083333333292</v>
      </c>
      <c r="AX629" s="110"/>
      <c r="AY629" s="110"/>
      <c r="AZ629" s="110"/>
      <c r="BA629" s="110"/>
      <c r="BB629" s="110"/>
      <c r="BC629" s="110"/>
      <c r="BD629" s="110"/>
      <c r="BE629" s="110"/>
      <c r="BF629" s="110"/>
      <c r="BG629" s="110"/>
      <c r="BH629" s="110"/>
      <c r="BI629" s="110"/>
      <c r="BJ629" s="110"/>
      <c r="BK629" s="110"/>
      <c r="BL629" s="110"/>
      <c r="BM629" s="110"/>
      <c r="BN629" s="110"/>
      <c r="BO629" s="110"/>
      <c r="BP629" s="110"/>
      <c r="BQ629" s="110"/>
      <c r="BR629" s="110"/>
      <c r="BS629" s="110"/>
      <c r="BT629" s="110"/>
      <c r="BU629" s="110"/>
      <c r="BV629" s="110"/>
      <c r="BW629" s="110">
        <v>50.5</v>
      </c>
      <c r="BX629" s="110">
        <v>2216</v>
      </c>
      <c r="BY629" s="1054">
        <f t="shared" si="988"/>
        <v>26</v>
      </c>
      <c r="BZ629" s="1054">
        <f t="shared" si="989"/>
        <v>28.692307692307693</v>
      </c>
      <c r="CA629" s="110">
        <v>1236</v>
      </c>
      <c r="CB629" s="1099">
        <f t="shared" si="990"/>
        <v>75249.609375</v>
      </c>
      <c r="CC629" s="208">
        <f t="shared" si="991"/>
        <v>551.953125</v>
      </c>
      <c r="CD629" s="208">
        <f t="shared" si="992"/>
        <v>22.998046875</v>
      </c>
      <c r="CE629" s="230">
        <f t="shared" si="1004"/>
        <v>1244.9409389513478</v>
      </c>
      <c r="CF629" s="110"/>
      <c r="CG629" s="208">
        <f>CC629/(AVERAGE(BY629,BY630)*AVERAGE((D$615,D$612,D$578,D$604,D$583,D$591,D$598,D$626,D$570,D$619))*0.01)</f>
        <v>962.56343517840298</v>
      </c>
      <c r="CH629" s="855">
        <f t="shared" si="915"/>
        <v>0.73988354557640745</v>
      </c>
      <c r="CI629" s="110"/>
      <c r="CJ629" s="110"/>
      <c r="CK629" s="110"/>
      <c r="CL629" s="110"/>
      <c r="CM629" s="110"/>
      <c r="CN629" s="110"/>
    </row>
    <row r="630" spans="1:92">
      <c r="A630" s="1034">
        <f t="shared" si="936"/>
        <v>41785</v>
      </c>
      <c r="B630" s="1035">
        <f t="shared" si="953"/>
        <v>0.33333333333333398</v>
      </c>
      <c r="C630" s="854">
        <f t="shared" si="977"/>
        <v>24</v>
      </c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  <c r="AA630" s="110"/>
      <c r="AB630" s="110"/>
      <c r="AC630" s="110"/>
      <c r="AD630" s="110"/>
      <c r="AE630" s="110"/>
      <c r="AF630" s="110"/>
      <c r="AG630" s="110"/>
      <c r="AH630" s="110"/>
      <c r="AI630" s="110"/>
      <c r="AJ630" s="110"/>
      <c r="AK630" s="110"/>
      <c r="AL630" s="110">
        <v>35.700000000000003</v>
      </c>
      <c r="AM630" s="110">
        <v>3540</v>
      </c>
      <c r="AN630" s="208">
        <f t="shared" si="981"/>
        <v>19.440000000000001</v>
      </c>
      <c r="AO630" s="208">
        <f t="shared" si="982"/>
        <v>72.685185185185176</v>
      </c>
      <c r="AP630" s="110">
        <v>2338</v>
      </c>
      <c r="AQ630" s="1099">
        <f t="shared" si="985"/>
        <v>140427.17812500001</v>
      </c>
      <c r="AR630" s="76">
        <f t="shared" si="986"/>
        <v>663.81562499998836</v>
      </c>
      <c r="AS630" s="230">
        <f t="shared" si="987"/>
        <v>27.658984374999516</v>
      </c>
      <c r="AT630" s="208">
        <f t="shared" si="1002"/>
        <v>2394.5901023285992</v>
      </c>
      <c r="AU630" s="110"/>
      <c r="AV630" s="230">
        <f t="shared" si="1003"/>
        <v>1851.4491753184263</v>
      </c>
      <c r="AW630" s="855">
        <f t="shared" si="881"/>
        <v>0.46979166666665845</v>
      </c>
      <c r="AX630" s="110"/>
      <c r="AY630" s="110"/>
      <c r="AZ630" s="110"/>
      <c r="BA630" s="110"/>
      <c r="BB630" s="110"/>
      <c r="BC630" s="110"/>
      <c r="BD630" s="110"/>
      <c r="BE630" s="110"/>
      <c r="BF630" s="110"/>
      <c r="BG630" s="110"/>
      <c r="BH630" s="110"/>
      <c r="BI630" s="110"/>
      <c r="BJ630" s="110"/>
      <c r="BK630" s="110"/>
      <c r="BL630" s="110"/>
      <c r="BM630" s="110"/>
      <c r="BN630" s="110"/>
      <c r="BO630" s="110"/>
      <c r="BP630" s="110"/>
      <c r="BQ630" s="110"/>
      <c r="BR630" s="110"/>
      <c r="BS630" s="110"/>
      <c r="BT630" s="110"/>
      <c r="BU630" s="110"/>
      <c r="BV630" s="110"/>
      <c r="BW630" s="110">
        <v>50.6</v>
      </c>
      <c r="BX630" s="110">
        <v>2222</v>
      </c>
      <c r="BY630" s="1054">
        <f t="shared" si="988"/>
        <v>12</v>
      </c>
      <c r="BZ630" s="1054">
        <f t="shared" si="989"/>
        <v>62.166666666666664</v>
      </c>
      <c r="CA630" s="110">
        <v>1243</v>
      </c>
      <c r="CB630" s="1099">
        <f t="shared" si="990"/>
        <v>75678.90625</v>
      </c>
      <c r="CC630" s="208">
        <f t="shared" si="991"/>
        <v>429.296875</v>
      </c>
      <c r="CD630" s="208">
        <f t="shared" si="992"/>
        <v>17.887369791666668</v>
      </c>
      <c r="CE630" s="230">
        <f t="shared" si="1004"/>
        <v>2628.2086488972895</v>
      </c>
      <c r="CF630" s="110"/>
      <c r="CG630" s="208">
        <f>CC630/(AVERAGE(BY630,BY631)*AVERAGE((D$615,D$612,D$578,D$604,D$583,D$591,D$598,D$626,D$570,D$619))*0.01)</f>
        <v>2032.0783631544064</v>
      </c>
      <c r="CH630" s="855">
        <f t="shared" si="915"/>
        <v>0.57546497989276135</v>
      </c>
      <c r="CI630" s="110"/>
      <c r="CJ630" s="110"/>
      <c r="CK630" s="110"/>
      <c r="CL630" s="110"/>
      <c r="CM630" s="110"/>
      <c r="CN630" s="110"/>
    </row>
    <row r="631" spans="1:92">
      <c r="A631" s="1034">
        <f t="shared" si="936"/>
        <v>41786</v>
      </c>
      <c r="B631" s="1035">
        <f t="shared" si="953"/>
        <v>0.33333333333333398</v>
      </c>
      <c r="C631" s="854">
        <f t="shared" si="977"/>
        <v>24</v>
      </c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  <c r="AA631" s="110"/>
      <c r="AB631" s="110"/>
      <c r="AC631" s="110"/>
      <c r="AD631" s="110"/>
      <c r="AE631" s="110"/>
      <c r="AF631" s="110"/>
      <c r="AG631" s="110"/>
      <c r="AH631" s="110"/>
      <c r="AI631" s="110"/>
      <c r="AJ631" s="110"/>
      <c r="AK631" s="110"/>
      <c r="AL631" s="110">
        <v>35.700000000000003</v>
      </c>
      <c r="AM631" s="110">
        <v>3542</v>
      </c>
      <c r="AN631" s="208">
        <f t="shared" si="981"/>
        <v>4.32</v>
      </c>
      <c r="AO631" s="208">
        <f t="shared" si="982"/>
        <v>327.08333333333331</v>
      </c>
      <c r="AP631" s="110">
        <v>2347</v>
      </c>
      <c r="AQ631" s="1099">
        <f t="shared" si="985"/>
        <v>140970.30000000002</v>
      </c>
      <c r="AR631" s="76">
        <f t="shared" si="986"/>
        <v>543.12187500001164</v>
      </c>
      <c r="AS631" s="230">
        <f t="shared" si="987"/>
        <v>22.630078125000484</v>
      </c>
      <c r="AT631" s="208">
        <f t="shared" si="1002"/>
        <v>10775.655460479118</v>
      </c>
      <c r="AU631" s="110"/>
      <c r="AV631" s="230">
        <f t="shared" si="1003"/>
        <v>8331.5212889332452</v>
      </c>
      <c r="AW631" s="855">
        <f t="shared" si="881"/>
        <v>0.38437500000000824</v>
      </c>
      <c r="AX631" s="110"/>
      <c r="AY631" s="110"/>
      <c r="AZ631" s="110"/>
      <c r="BA631" s="110"/>
      <c r="BB631" s="110"/>
      <c r="BC631" s="110"/>
      <c r="BD631" s="110"/>
      <c r="BE631" s="110"/>
      <c r="BF631" s="110"/>
      <c r="BG631" s="110"/>
      <c r="BH631" s="110"/>
      <c r="BI631" s="110"/>
      <c r="BJ631" s="110"/>
      <c r="BK631" s="110"/>
      <c r="BL631" s="110"/>
      <c r="BM631" s="110"/>
      <c r="BN631" s="110"/>
      <c r="BO631" s="110"/>
      <c r="BP631" s="110"/>
      <c r="BQ631" s="110"/>
      <c r="BR631" s="110"/>
      <c r="BS631" s="110"/>
      <c r="BT631" s="110"/>
      <c r="BU631" s="110"/>
      <c r="BV631" s="110"/>
      <c r="BW631" s="110">
        <v>50.5</v>
      </c>
      <c r="BX631" s="110">
        <v>2223</v>
      </c>
      <c r="BY631" s="1054">
        <f t="shared" si="988"/>
        <v>2</v>
      </c>
      <c r="BZ631" s="1054">
        <f t="shared" si="989"/>
        <v>373</v>
      </c>
      <c r="CA631" s="110">
        <v>1246</v>
      </c>
      <c r="CB631" s="1099">
        <f t="shared" si="990"/>
        <v>75862.890625</v>
      </c>
      <c r="CC631" s="208">
        <f t="shared" si="991"/>
        <v>183.984375</v>
      </c>
      <c r="CD631" s="208">
        <f t="shared" si="992"/>
        <v>7.666015625</v>
      </c>
      <c r="CE631" s="230">
        <f t="shared" si="1004"/>
        <v>7884.6259466918682</v>
      </c>
      <c r="CF631" s="110"/>
      <c r="CG631" s="208">
        <f>CC631/(AVERAGE(BY631,BY632)*AVERAGE((D$615,D$612,D$578,D$604,D$583,D$591,D$598,D$626,D$570,D$619))*0.01)</f>
        <v>6096.2350894632191</v>
      </c>
      <c r="CH631" s="855">
        <f t="shared" si="915"/>
        <v>0.24662784852546918</v>
      </c>
      <c r="CI631" s="110"/>
      <c r="CJ631" s="110"/>
      <c r="CK631" s="110"/>
      <c r="CL631" s="110"/>
      <c r="CM631" s="110"/>
      <c r="CN631" s="110"/>
    </row>
    <row r="632" spans="1:92">
      <c r="A632" s="1034">
        <f t="shared" si="936"/>
        <v>41787</v>
      </c>
      <c r="B632" s="1035">
        <f t="shared" si="953"/>
        <v>0.33333333333333398</v>
      </c>
      <c r="C632" s="854">
        <f t="shared" si="977"/>
        <v>24</v>
      </c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  <c r="AA632" s="110"/>
      <c r="AB632" s="110"/>
      <c r="AC632" s="110"/>
      <c r="AD632" s="110"/>
      <c r="AE632" s="110"/>
      <c r="AF632" s="110"/>
      <c r="AG632" s="110"/>
      <c r="AH632" s="110"/>
      <c r="AI632" s="110"/>
      <c r="AJ632" s="110"/>
      <c r="AK632" s="110"/>
      <c r="AL632" s="110">
        <v>35.700000000000003</v>
      </c>
      <c r="AM632" s="110">
        <v>3542</v>
      </c>
      <c r="AN632" s="208">
        <f t="shared" si="981"/>
        <v>0</v>
      </c>
      <c r="AO632" s="208"/>
      <c r="AP632" s="110">
        <v>2354</v>
      </c>
      <c r="AQ632" s="1099">
        <f t="shared" si="985"/>
        <v>141392.72812500002</v>
      </c>
      <c r="AR632" s="76">
        <f t="shared" si="986"/>
        <v>422.42812500000582</v>
      </c>
      <c r="AS632" s="230">
        <f t="shared" si="987"/>
        <v>17.601171875000244</v>
      </c>
      <c r="AT632" s="208">
        <f t="shared" si="1002"/>
        <v>16762.130716300722</v>
      </c>
      <c r="AU632" s="110"/>
      <c r="AV632" s="230">
        <f t="shared" si="1003"/>
        <v>12960.144227229392</v>
      </c>
      <c r="AW632" s="855">
        <f t="shared" si="881"/>
        <v>0.29895833333333743</v>
      </c>
      <c r="AX632" s="110"/>
      <c r="AY632" s="110"/>
      <c r="AZ632" s="110"/>
      <c r="BA632" s="110"/>
      <c r="BB632" s="110"/>
      <c r="BC632" s="110"/>
      <c r="BD632" s="110"/>
      <c r="BE632" s="110"/>
      <c r="BF632" s="110"/>
      <c r="BG632" s="110"/>
      <c r="BH632" s="110"/>
      <c r="BI632" s="110"/>
      <c r="BJ632" s="110"/>
      <c r="BK632" s="110"/>
      <c r="BL632" s="110"/>
      <c r="BM632" s="110"/>
      <c r="BN632" s="110"/>
      <c r="BO632" s="110"/>
      <c r="BP632" s="110"/>
      <c r="BQ632" s="110"/>
      <c r="BR632" s="110"/>
      <c r="BS632" s="110"/>
      <c r="BT632" s="110"/>
      <c r="BU632" s="110"/>
      <c r="BV632" s="110"/>
      <c r="BW632" s="110">
        <v>50.7</v>
      </c>
      <c r="BX632" s="110">
        <v>2223</v>
      </c>
      <c r="BY632" s="1054">
        <f t="shared" si="988"/>
        <v>0</v>
      </c>
      <c r="BZ632" s="1054"/>
      <c r="CA632" s="110">
        <v>1248</v>
      </c>
      <c r="CB632" s="1099">
        <f t="shared" si="990"/>
        <v>75985.546875</v>
      </c>
      <c r="CC632" s="208">
        <f t="shared" si="991"/>
        <v>122.65625</v>
      </c>
      <c r="CD632" s="208">
        <f t="shared" si="992"/>
        <v>5.110677083333333</v>
      </c>
      <c r="CE632" s="230">
        <f t="shared" si="1004"/>
        <v>5256.4172977945791</v>
      </c>
      <c r="CF632" s="110"/>
      <c r="CG632" s="208">
        <f>CC632/(AVERAGE(BY632,BY633)*AVERAGE((D$615,D$612,D$578,D$604,D$583,D$591,D$598,D$626,D$570,D$619))*0.01)</f>
        <v>4064.1567263088127</v>
      </c>
      <c r="CH632" s="855">
        <f t="shared" si="915"/>
        <v>0.1644185656836461</v>
      </c>
      <c r="CI632" s="110"/>
      <c r="CJ632" s="110"/>
      <c r="CK632" s="110"/>
      <c r="CL632" s="110"/>
      <c r="CM632" s="110"/>
      <c r="CN632" s="110"/>
    </row>
    <row r="633" spans="1:92" s="337" customFormat="1">
      <c r="A633" s="1036">
        <f t="shared" si="936"/>
        <v>41788</v>
      </c>
      <c r="B633" s="1037">
        <f t="shared" si="953"/>
        <v>0.33333333333333398</v>
      </c>
      <c r="C633" s="847">
        <f t="shared" si="977"/>
        <v>24</v>
      </c>
      <c r="D633" s="442">
        <v>2.9</v>
      </c>
      <c r="E633" s="442">
        <v>74.400000000000006</v>
      </c>
      <c r="F633" s="442">
        <v>36800</v>
      </c>
      <c r="G633" s="442"/>
      <c r="H633" s="442">
        <v>45.3</v>
      </c>
      <c r="I633" s="442">
        <v>9526</v>
      </c>
      <c r="J633" s="442">
        <v>3684</v>
      </c>
      <c r="K633" s="442">
        <v>70.599999999999994</v>
      </c>
      <c r="L633" s="442">
        <v>144</v>
      </c>
      <c r="M633" s="442"/>
      <c r="N633" s="442"/>
      <c r="O633" s="442"/>
      <c r="P633" s="442"/>
      <c r="Q633" s="442"/>
      <c r="R633" s="442"/>
      <c r="S633" s="442"/>
      <c r="T633" s="442"/>
      <c r="U633" s="442"/>
      <c r="V633" s="442">
        <v>2.1</v>
      </c>
      <c r="W633" s="442">
        <v>68.099999999999994</v>
      </c>
      <c r="X633" s="442">
        <v>21800</v>
      </c>
      <c r="Y633" s="442">
        <v>31.8</v>
      </c>
      <c r="Z633" s="442">
        <v>1422</v>
      </c>
      <c r="AA633" s="442">
        <v>289</v>
      </c>
      <c r="AB633" s="442">
        <v>78.7</v>
      </c>
      <c r="AC633" s="442">
        <v>136</v>
      </c>
      <c r="AD633" s="1021">
        <f>D626*(100-E626)/(100-W633)</f>
        <v>2.4489028213166142</v>
      </c>
      <c r="AE633" s="1055">
        <f>D626-V633</f>
        <v>1</v>
      </c>
      <c r="AF633" s="847">
        <f>100*(AVERAGE(D$615,D$612,D$578,D$604,D$583,D$591,D$598,D$626,D$633,D$619)-V633)/AVERAGE(D$615,D$612,D$578,D$604,D$583,D$591,D$598,D$626,D$633,D$619)</f>
        <v>31.102362204724418</v>
      </c>
      <c r="AG633" s="847">
        <f>100*(1-((100-AVERAGE(E$615,E$612,E$578,E$604,E$583,E$591,E$598,E$626,E$633,E$619))/(100-W633)))</f>
        <v>27.862068965517206</v>
      </c>
      <c r="AH633" s="1055">
        <f>E626-W633</f>
        <v>6.7000000000000028</v>
      </c>
      <c r="AI633" s="847">
        <f>100*(1-((V633*W633)/(AVERAGE(D$615,D$612,D$578,D$604,D$583,D$591,D$598,D$626,D$633,D$619)*AVERAGE(E$615,E$612,E$578,E$604,E$583,E$591,E$598,E$626,E$633,E$619))))</f>
        <v>39.056357693948826</v>
      </c>
      <c r="AJ633" s="847">
        <f>100*100*((AVERAGE(E$615,E$612,E$578,E$604,E$583,E$591,E$598,E$626,E$633,E$619)-W633)/((100-W633)*AVERAGE(E$615,E$612,E$578,E$604,E$583,E$591,E$598,E$626,E$633,E$619)))</f>
        <v>36.190145172646666</v>
      </c>
      <c r="AK633" s="442"/>
      <c r="AL633" s="442">
        <v>35.6</v>
      </c>
      <c r="AM633" s="442">
        <v>3543</v>
      </c>
      <c r="AN633" s="208">
        <f t="shared" si="981"/>
        <v>2.16</v>
      </c>
      <c r="AO633" s="208">
        <f t="shared" si="982"/>
        <v>654.16666666666663</v>
      </c>
      <c r="AP633" s="442">
        <v>2361</v>
      </c>
      <c r="AQ633" s="1099">
        <f t="shared" si="985"/>
        <v>141815.15625</v>
      </c>
      <c r="AR633" s="76">
        <f t="shared" si="986"/>
        <v>422.42812499997672</v>
      </c>
      <c r="AS633" s="230">
        <f t="shared" si="987"/>
        <v>17.601171874999029</v>
      </c>
      <c r="AT633" s="208">
        <f>AR633/(AVERAGE(AN633,AN634)*(AVERAGE(D$615,D$612,D$578,D$604,D$583,D$591,D$598,D$626,D$633,D$619))*AVERAGE(E$615,E$612,E$578,E$604,E$583,E$591,E$598,E$626,E$633,E$619)*0.0001)</f>
        <v>16668.290840846697</v>
      </c>
      <c r="AU633" s="597">
        <f>(AQ633-AQ627)/(AVERAGE(AN627:AN633)*((AVERAGE(D$615,D$612,D$578,D$604,D$583,D$591,D$598,D$626,D$633,D$619)*AVERAGE(E$615,E$612,E$578,E$604,E$583,E$591,E$598,E$626,E$633,E$619))-(V633*W633))*0.0001*(SUM(C627:C633)/24))</f>
        <v>2619.0439166622637</v>
      </c>
      <c r="AV633" s="230">
        <f>AR633/(AVERAGE(AN634,AN633)*AVERAGE(D$615,D$612,D$578,D$604,D$583,D$591,D$598,D$626,D$633,D$619)*0.01)</f>
        <v>12832.583752551054</v>
      </c>
      <c r="AW633" s="855">
        <f t="shared" ref="AW633:AW660" si="1005">AR633/AQ$3</f>
        <v>0.29895833333331684</v>
      </c>
      <c r="AX633" s="442"/>
      <c r="AY633" s="442"/>
      <c r="AZ633" s="442"/>
      <c r="BA633" s="442"/>
      <c r="BB633" s="442"/>
      <c r="BC633" s="442"/>
      <c r="BD633" s="442"/>
      <c r="BE633" s="442"/>
      <c r="BF633" s="442"/>
      <c r="BG633" s="442">
        <v>2.2000000000000002</v>
      </c>
      <c r="BH633" s="442">
        <v>65</v>
      </c>
      <c r="BI633" s="442">
        <v>21000</v>
      </c>
      <c r="BJ633" s="442">
        <v>36.9</v>
      </c>
      <c r="BK633" s="442">
        <v>2741</v>
      </c>
      <c r="BL633" s="442">
        <v>540</v>
      </c>
      <c r="BM633" s="442">
        <v>89.5</v>
      </c>
      <c r="BN633" s="442">
        <v>122</v>
      </c>
      <c r="BO633" s="847">
        <f>D626*(100-E626)/(100-BH633)</f>
        <v>2.2320000000000002</v>
      </c>
      <c r="BP633" s="1055">
        <f>D626-BG633</f>
        <v>0.89999999999999991</v>
      </c>
      <c r="BQ633" s="1056">
        <f>100*(AVERAGE(D$615,D$612,D$578,D$604,D$583,D$591,D$598,D$626,D$633,D$619)-BG633)/AVERAGE(D$615,D$612,D$578,D$604,D$583,D$591,D$598,D$626,D$633,D$619)</f>
        <v>27.821522309711291</v>
      </c>
      <c r="BR633" s="1056">
        <f>100*(1-((100-AVERAGE(E$615,E$612,E$578,E$604,E$583,E$591,E$598,E$626,E$633,E$619))/(100-BH633)))</f>
        <v>34.251428571428534</v>
      </c>
      <c r="BS633" s="1055">
        <f>E626-BH633</f>
        <v>9.7999999999999972</v>
      </c>
      <c r="BT633" s="1055">
        <f>100*(1-((BG633*BH633)/(AVERAGE(D$615,D$612,D$578,D$604,D$583,D$591,D$598,D$626,D$633,D$619)*AVERAGE(E$615,E$612,E$578,E$604,E$583,E$591,E$598,E$626,E$633,E$619))))</f>
        <v>39.060619189110426</v>
      </c>
      <c r="BU633" s="847">
        <f>100*100*((AVERAGE(E$615,E$612,E$578,E$604,E$583,E$591,E$598,E$626,E$633,E$619)-BH633)/((100-BH633)*AVERAGE(E$615,E$612,E$578,E$604,E$583,E$591,E$598,E$626,E$633,E$619)))</f>
        <v>44.489308166764353</v>
      </c>
      <c r="BV633" s="442"/>
      <c r="BW633" s="442">
        <v>50.7</v>
      </c>
      <c r="BX633" s="442">
        <v>2224</v>
      </c>
      <c r="BY633" s="1054">
        <f t="shared" si="988"/>
        <v>2</v>
      </c>
      <c r="BZ633" s="1054">
        <f t="shared" si="989"/>
        <v>373</v>
      </c>
      <c r="CA633" s="442">
        <v>1250</v>
      </c>
      <c r="CB633" s="1099">
        <f t="shared" si="990"/>
        <v>76108.203125</v>
      </c>
      <c r="CC633" s="208">
        <f t="shared" si="991"/>
        <v>122.65625</v>
      </c>
      <c r="CD633" s="208">
        <f t="shared" si="992"/>
        <v>5.110677083333333</v>
      </c>
      <c r="CE633" s="230">
        <f>CC633/(AVERAGE(BY634,BY633)*(AVERAGE(D$615,D$612,D$578,D$604,D$583,D$591,D$598,D$626,D$633,D$619))*AVERAGE(E$615,E$612,E$578,E$604,E$583,E$591,E$598,E$626,E$633,E$619)*0.0001)</f>
        <v>5226.9901591508205</v>
      </c>
      <c r="CF633" s="334">
        <f>(CB633-CB627)/(AVERAGE(BY627:BY633)*((AVERAGE(D$615,D$612,D$578,D$604,D$583,D$591,D$598,D$626,D$633,D$619)*AVERAGE(E$615,E$612,E$578,E$604,E$583,E$591,E$598,E$626,E$633,E$619))-(BG633*BH633))*0.0001*(SUM(C627:C633)/24))</f>
        <v>2123.0643798620958</v>
      </c>
      <c r="CG633" s="208">
        <f>CC633/(AVERAGE(BY633,BY634)*AVERAGE((D$615,D$612,D$578,D$604,D$583,D$591,D$598,D$626,D$633,D$619))*0.01)</f>
        <v>4024.1551837270331</v>
      </c>
      <c r="CH633" s="855">
        <f t="shared" si="915"/>
        <v>0.1644185656836461</v>
      </c>
      <c r="CI633" s="442"/>
      <c r="CJ633" s="442"/>
      <c r="CK633" s="442"/>
      <c r="CL633" s="442"/>
      <c r="CM633" s="442"/>
      <c r="CN633" s="442"/>
    </row>
    <row r="634" spans="1:92">
      <c r="A634" s="1034">
        <f t="shared" si="936"/>
        <v>41789</v>
      </c>
      <c r="B634" s="1035">
        <f t="shared" si="953"/>
        <v>0.33333333333333398</v>
      </c>
      <c r="C634" s="854">
        <f t="shared" si="977"/>
        <v>24</v>
      </c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  <c r="AA634" s="110"/>
      <c r="AB634" s="110"/>
      <c r="AC634" s="110"/>
      <c r="AD634" s="110"/>
      <c r="AE634" s="110"/>
      <c r="AF634" s="110"/>
      <c r="AG634" s="110"/>
      <c r="AH634" s="110"/>
      <c r="AI634" s="110"/>
      <c r="AJ634" s="110"/>
      <c r="AK634" s="110"/>
      <c r="AL634" s="110">
        <v>35.6</v>
      </c>
      <c r="AM634" s="110">
        <v>3543</v>
      </c>
      <c r="AN634" s="208">
        <f t="shared" si="981"/>
        <v>0</v>
      </c>
      <c r="AO634" s="208"/>
      <c r="AP634" s="110">
        <v>2367</v>
      </c>
      <c r="AQ634" s="1099">
        <f t="shared" si="985"/>
        <v>142177.23750000002</v>
      </c>
      <c r="AR634" s="76">
        <f t="shared" si="986"/>
        <v>362.08125000001746</v>
      </c>
      <c r="AS634" s="230">
        <f t="shared" si="987"/>
        <v>15.086718750000728</v>
      </c>
      <c r="AT634" s="208">
        <f t="shared" ref="AT634:AT660" si="1006">AR634/(AVERAGE(AN634,AN635)*(AVERAGE(D$615,D$612,D$578,D$604,D$583,D$591,D$598,D$626,D$633,D$619))*AVERAGE(E$615,E$612,E$578,E$604,E$583,E$591,E$598,E$626,E$633,E$619)*0.0001)</f>
        <v>7143.5532175064664</v>
      </c>
      <c r="AU634" s="110"/>
      <c r="AV634" s="230">
        <f t="shared" ref="AV634:AV660" si="1007">AR634/(AVERAGE(AN635,AN634)*AVERAGE(D$615,D$612,D$578,D$604,D$583,D$591,D$598,D$626,D$633,D$619)*0.01)</f>
        <v>5499.6787510938775</v>
      </c>
      <c r="AW634" s="855">
        <f t="shared" si="1005"/>
        <v>0.25625000000001236</v>
      </c>
      <c r="AX634" s="110"/>
      <c r="AY634" s="110"/>
      <c r="AZ634" s="110"/>
      <c r="BA634" s="110"/>
      <c r="BB634" s="110"/>
      <c r="BC634" s="110"/>
      <c r="BD634" s="110"/>
      <c r="BE634" s="110"/>
      <c r="BF634" s="110"/>
      <c r="BG634" s="110"/>
      <c r="BH634" s="110"/>
      <c r="BI634" s="110"/>
      <c r="BJ634" s="110"/>
      <c r="BK634" s="110"/>
      <c r="BL634" s="110"/>
      <c r="BM634" s="110"/>
      <c r="BN634" s="110"/>
      <c r="BO634" s="110"/>
      <c r="BP634" s="110"/>
      <c r="BQ634" s="110"/>
      <c r="BR634" s="110"/>
      <c r="BS634" s="110"/>
      <c r="BT634" s="110"/>
      <c r="BU634" s="110"/>
      <c r="BV634" s="110"/>
      <c r="BW634" s="110">
        <v>50.5</v>
      </c>
      <c r="BX634" s="110">
        <v>2224</v>
      </c>
      <c r="BY634" s="1054">
        <f t="shared" si="988"/>
        <v>0</v>
      </c>
      <c r="BZ634" s="1054"/>
      <c r="CA634" s="110">
        <v>1251</v>
      </c>
      <c r="CB634" s="1099">
        <f t="shared" si="990"/>
        <v>76169.53125</v>
      </c>
      <c r="CC634" s="208">
        <f t="shared" si="991"/>
        <v>61.328125</v>
      </c>
      <c r="CD634" s="208">
        <f t="shared" si="992"/>
        <v>2.5553385416666665</v>
      </c>
      <c r="CE634" s="230">
        <f t="shared" ref="CE634:CE664" si="1008">CC634/(AVERAGE(BY635,BY634)*(AVERAGE(D$615,D$612,D$578,D$604,D$583,D$591,D$598,D$626,D$633,D$619))*AVERAGE(E$615,E$612,E$578,E$604,E$583,E$591,E$598,E$626,E$633,E$619)*0.0001)</f>
        <v>2613.4950795754103</v>
      </c>
      <c r="CF634" s="110"/>
      <c r="CG634" s="208">
        <f>CC634/(AVERAGE(BY634,BY635)*AVERAGE((D$615,D$612,D$578,D$604,D$583,D$591,D$598,D$626,D$633,D$619))*0.01)</f>
        <v>2012.0775918635165</v>
      </c>
      <c r="CH634" s="855">
        <f t="shared" si="915"/>
        <v>8.220928284182305E-2</v>
      </c>
      <c r="CI634" s="110"/>
      <c r="CJ634" s="110"/>
      <c r="CK634" s="110"/>
      <c r="CL634" s="110"/>
      <c r="CM634" s="110"/>
      <c r="CN634" s="110"/>
    </row>
    <row r="635" spans="1:92">
      <c r="A635" s="1034">
        <f t="shared" si="936"/>
        <v>41790</v>
      </c>
      <c r="B635" s="1035">
        <f t="shared" si="953"/>
        <v>0.33333333333333398</v>
      </c>
      <c r="C635" s="854">
        <f t="shared" si="977"/>
        <v>24</v>
      </c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  <c r="AA635" s="110"/>
      <c r="AB635" s="110"/>
      <c r="AC635" s="110"/>
      <c r="AD635" s="110"/>
      <c r="AE635" s="110"/>
      <c r="AF635" s="110"/>
      <c r="AG635" s="110"/>
      <c r="AH635" s="110"/>
      <c r="AI635" s="110"/>
      <c r="AJ635" s="110"/>
      <c r="AK635" s="110"/>
      <c r="AL635" s="110">
        <v>35.700000000000003</v>
      </c>
      <c r="AM635" s="110">
        <v>3545</v>
      </c>
      <c r="AN635" s="208">
        <f t="shared" si="981"/>
        <v>4.32</v>
      </c>
      <c r="AO635" s="208">
        <f t="shared" si="982"/>
        <v>327.08333333333331</v>
      </c>
      <c r="AP635" s="110">
        <v>2374</v>
      </c>
      <c r="AQ635" s="1099">
        <f t="shared" si="985"/>
        <v>142599.66562500002</v>
      </c>
      <c r="AR635" s="76">
        <f t="shared" si="986"/>
        <v>422.42812500000582</v>
      </c>
      <c r="AS635" s="230">
        <f t="shared" si="987"/>
        <v>17.601171875000244</v>
      </c>
      <c r="AT635" s="208">
        <f t="shared" si="1006"/>
        <v>4167.0727102119617</v>
      </c>
      <c r="AU635" s="110"/>
      <c r="AV635" s="230">
        <f t="shared" si="1007"/>
        <v>3208.1459381379846</v>
      </c>
      <c r="AW635" s="855">
        <f t="shared" si="1005"/>
        <v>0.29895833333333743</v>
      </c>
      <c r="AX635" s="110"/>
      <c r="AY635" s="110"/>
      <c r="AZ635" s="110"/>
      <c r="BA635" s="110"/>
      <c r="BB635" s="110"/>
      <c r="BC635" s="110"/>
      <c r="BD635" s="110"/>
      <c r="BE635" s="110"/>
      <c r="BF635" s="110"/>
      <c r="BG635" s="110"/>
      <c r="BH635" s="110"/>
      <c r="BI635" s="110"/>
      <c r="BJ635" s="110"/>
      <c r="BK635" s="110"/>
      <c r="BL635" s="110"/>
      <c r="BM635" s="110"/>
      <c r="BN635" s="110"/>
      <c r="BO635" s="110"/>
      <c r="BP635" s="110"/>
      <c r="BQ635" s="110"/>
      <c r="BR635" s="110"/>
      <c r="BS635" s="110"/>
      <c r="BT635" s="110"/>
      <c r="BU635" s="110"/>
      <c r="BV635" s="110"/>
      <c r="BW635" s="110">
        <v>50.4</v>
      </c>
      <c r="BX635" s="110">
        <v>2225</v>
      </c>
      <c r="BY635" s="1054">
        <f t="shared" si="988"/>
        <v>2</v>
      </c>
      <c r="BZ635" s="1054">
        <f t="shared" si="989"/>
        <v>373</v>
      </c>
      <c r="CA635" s="110">
        <v>1252</v>
      </c>
      <c r="CB635" s="1099">
        <f t="shared" si="990"/>
        <v>76230.859375</v>
      </c>
      <c r="CC635" s="208">
        <f t="shared" si="991"/>
        <v>61.328125</v>
      </c>
      <c r="CD635" s="208">
        <f t="shared" si="992"/>
        <v>2.5553385416666665</v>
      </c>
      <c r="CE635" s="230">
        <f t="shared" si="1008"/>
        <v>2613.4950795754103</v>
      </c>
      <c r="CF635" s="110"/>
      <c r="CG635" s="208">
        <f>CC635/(AVERAGE(BY635,BY636)*AVERAGE((D$615,D$612,D$578,D$604,D$583,D$591,D$598,D$626,D$633,D$619))*0.01)</f>
        <v>2012.0775918635165</v>
      </c>
      <c r="CH635" s="855">
        <f t="shared" si="915"/>
        <v>8.220928284182305E-2</v>
      </c>
      <c r="CI635" s="110"/>
      <c r="CJ635" s="110"/>
      <c r="CK635" s="110"/>
      <c r="CL635" s="110"/>
      <c r="CM635" s="110"/>
      <c r="CN635" s="110"/>
    </row>
    <row r="636" spans="1:92">
      <c r="A636" s="1034">
        <f t="shared" si="936"/>
        <v>41791</v>
      </c>
      <c r="B636" s="1035">
        <f t="shared" si="953"/>
        <v>0.33333333333333398</v>
      </c>
      <c r="C636" s="854">
        <f t="shared" si="977"/>
        <v>24</v>
      </c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  <c r="AA636" s="110"/>
      <c r="AB636" s="110"/>
      <c r="AC636" s="110"/>
      <c r="AD636" s="110"/>
      <c r="AE636" s="110"/>
      <c r="AF636" s="110"/>
      <c r="AG636" s="110"/>
      <c r="AH636" s="110"/>
      <c r="AI636" s="110"/>
      <c r="AJ636" s="110"/>
      <c r="AK636" s="110"/>
      <c r="AL636" s="110">
        <v>35.5</v>
      </c>
      <c r="AM636" s="110">
        <v>3547</v>
      </c>
      <c r="AN636" s="208">
        <f t="shared" si="981"/>
        <v>4.32</v>
      </c>
      <c r="AO636" s="208">
        <f t="shared" si="982"/>
        <v>327.08333333333331</v>
      </c>
      <c r="AP636" s="110">
        <v>2380</v>
      </c>
      <c r="AQ636" s="1099">
        <f t="shared" si="985"/>
        <v>142961.74687500001</v>
      </c>
      <c r="AR636" s="76">
        <f t="shared" si="986"/>
        <v>362.08124999998836</v>
      </c>
      <c r="AS636" s="230">
        <f t="shared" si="987"/>
        <v>15.086718749999514</v>
      </c>
      <c r="AT636" s="208">
        <f t="shared" si="1006"/>
        <v>4762.3688116705953</v>
      </c>
      <c r="AU636" s="110"/>
      <c r="AV636" s="230">
        <f t="shared" si="1007"/>
        <v>3666.4525007289571</v>
      </c>
      <c r="AW636" s="855">
        <f t="shared" si="1005"/>
        <v>0.25624999999999176</v>
      </c>
      <c r="AX636" s="110"/>
      <c r="AY636" s="110"/>
      <c r="AZ636" s="110"/>
      <c r="BA636" s="110"/>
      <c r="BB636" s="110"/>
      <c r="BC636" s="110"/>
      <c r="BD636" s="110"/>
      <c r="BE636" s="110"/>
      <c r="BF636" s="110"/>
      <c r="BG636" s="110"/>
      <c r="BH636" s="110"/>
      <c r="BI636" s="110"/>
      <c r="BJ636" s="110"/>
      <c r="BK636" s="110"/>
      <c r="BL636" s="110"/>
      <c r="BM636" s="110"/>
      <c r="BN636" s="110"/>
      <c r="BO636" s="110"/>
      <c r="BP636" s="110"/>
      <c r="BQ636" s="110"/>
      <c r="BR636" s="110"/>
      <c r="BS636" s="110"/>
      <c r="BT636" s="110"/>
      <c r="BU636" s="110"/>
      <c r="BV636" s="110"/>
      <c r="BW636" s="110">
        <v>50.6</v>
      </c>
      <c r="BX636" s="110">
        <v>2225</v>
      </c>
      <c r="BY636" s="1054">
        <f t="shared" si="988"/>
        <v>0</v>
      </c>
      <c r="BZ636" s="1054"/>
      <c r="CA636" s="110">
        <v>1253</v>
      </c>
      <c r="CB636" s="1099">
        <f t="shared" si="990"/>
        <v>76292.1875</v>
      </c>
      <c r="CC636" s="208">
        <f t="shared" si="991"/>
        <v>61.328125</v>
      </c>
      <c r="CD636" s="208">
        <f t="shared" si="992"/>
        <v>2.5553385416666665</v>
      </c>
      <c r="CE636" s="230">
        <f t="shared" si="1008"/>
        <v>653.37376989385257</v>
      </c>
      <c r="CF636" s="110"/>
      <c r="CG636" s="208">
        <f>CC636/(AVERAGE(BY636,BY637)*AVERAGE((D$615,D$612,D$578,D$604,D$583,D$591,D$598,D$626,D$633,D$619))*0.01)</f>
        <v>503.01939796587914</v>
      </c>
      <c r="CH636" s="855">
        <f t="shared" si="915"/>
        <v>8.220928284182305E-2</v>
      </c>
      <c r="CI636" s="110"/>
      <c r="CJ636" s="110"/>
      <c r="CK636" s="110"/>
      <c r="CL636" s="110"/>
      <c r="CM636" s="110"/>
      <c r="CN636" s="110"/>
    </row>
    <row r="637" spans="1:92">
      <c r="A637" s="1034">
        <f t="shared" si="936"/>
        <v>41792</v>
      </c>
      <c r="B637" s="1035">
        <f t="shared" si="953"/>
        <v>0.33333333333333398</v>
      </c>
      <c r="C637" s="854">
        <f t="shared" si="977"/>
        <v>24</v>
      </c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  <c r="AA637" s="110"/>
      <c r="AB637" s="110"/>
      <c r="AC637" s="110"/>
      <c r="AD637" s="110"/>
      <c r="AE637" s="110"/>
      <c r="AF637" s="110"/>
      <c r="AG637" s="110"/>
      <c r="AH637" s="110"/>
      <c r="AI637" s="110"/>
      <c r="AJ637" s="110"/>
      <c r="AK637" s="110"/>
      <c r="AL637" s="110">
        <v>35.6</v>
      </c>
      <c r="AM637" s="110">
        <v>3548</v>
      </c>
      <c r="AN637" s="208">
        <f t="shared" si="981"/>
        <v>2.16</v>
      </c>
      <c r="AO637" s="208">
        <f t="shared" si="982"/>
        <v>654.16666666666663</v>
      </c>
      <c r="AP637" s="110">
        <v>2387</v>
      </c>
      <c r="AQ637" s="1099">
        <f t="shared" si="985"/>
        <v>143384.17500000002</v>
      </c>
      <c r="AR637" s="76">
        <f t="shared" si="986"/>
        <v>422.42812500000582</v>
      </c>
      <c r="AS637" s="230">
        <f t="shared" si="987"/>
        <v>17.601171875000244</v>
      </c>
      <c r="AT637" s="208">
        <f t="shared" si="1006"/>
        <v>16668.290840847847</v>
      </c>
      <c r="AU637" s="110"/>
      <c r="AV637" s="230">
        <f t="shared" si="1007"/>
        <v>12832.583752551938</v>
      </c>
      <c r="AW637" s="855">
        <f t="shared" si="1005"/>
        <v>0.29895833333333743</v>
      </c>
      <c r="AX637" s="110"/>
      <c r="AY637" s="110"/>
      <c r="AZ637" s="110"/>
      <c r="BA637" s="110"/>
      <c r="BB637" s="110"/>
      <c r="BC637" s="110"/>
      <c r="BD637" s="110"/>
      <c r="BE637" s="110"/>
      <c r="BF637" s="110"/>
      <c r="BG637" s="110"/>
      <c r="BH637" s="110"/>
      <c r="BI637" s="110"/>
      <c r="BJ637" s="110"/>
      <c r="BK637" s="110"/>
      <c r="BL637" s="110"/>
      <c r="BM637" s="110"/>
      <c r="BN637" s="110"/>
      <c r="BO637" s="110"/>
      <c r="BP637" s="110"/>
      <c r="BQ637" s="110"/>
      <c r="BR637" s="110"/>
      <c r="BS637" s="110"/>
      <c r="BT637" s="110"/>
      <c r="BU637" s="110"/>
      <c r="BV637" s="110"/>
      <c r="BW637" s="110">
        <v>50.3</v>
      </c>
      <c r="BX637" s="110">
        <v>2229</v>
      </c>
      <c r="BY637" s="1054">
        <f t="shared" si="988"/>
        <v>8</v>
      </c>
      <c r="BZ637" s="1054">
        <f t="shared" si="989"/>
        <v>93.25</v>
      </c>
      <c r="CA637" s="110">
        <v>1254</v>
      </c>
      <c r="CB637" s="1099">
        <f t="shared" si="990"/>
        <v>76353.515625</v>
      </c>
      <c r="CC637" s="208">
        <f t="shared" si="991"/>
        <v>61.328125</v>
      </c>
      <c r="CD637" s="208">
        <f t="shared" si="992"/>
        <v>2.5553385416666665</v>
      </c>
      <c r="CE637" s="230">
        <f t="shared" si="1008"/>
        <v>653.37376989385257</v>
      </c>
      <c r="CF637" s="110"/>
      <c r="CG637" s="208">
        <f>CC637/(AVERAGE(BY637,BY638)*AVERAGE((D$615,D$612,D$578,D$604,D$583,D$591,D$598,D$626,D$633,D$619))*0.01)</f>
        <v>503.01939796587914</v>
      </c>
      <c r="CH637" s="855">
        <f t="shared" si="915"/>
        <v>8.220928284182305E-2</v>
      </c>
      <c r="CI637" s="110"/>
      <c r="CJ637" s="110"/>
      <c r="CK637" s="110"/>
      <c r="CL637" s="110"/>
      <c r="CM637" s="110"/>
      <c r="CN637" s="110"/>
    </row>
    <row r="638" spans="1:92">
      <c r="A638" s="1034">
        <f t="shared" si="936"/>
        <v>41793</v>
      </c>
      <c r="B638" s="1035">
        <f t="shared" si="953"/>
        <v>0.33333333333333398</v>
      </c>
      <c r="C638" s="854">
        <f t="shared" si="977"/>
        <v>24</v>
      </c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  <c r="AA638" s="110"/>
      <c r="AB638" s="110"/>
      <c r="AC638" s="110"/>
      <c r="AD638" s="110"/>
      <c r="AE638" s="110"/>
      <c r="AF638" s="110"/>
      <c r="AG638" s="110"/>
      <c r="AH638" s="110"/>
      <c r="AI638" s="110"/>
      <c r="AJ638" s="110"/>
      <c r="AK638" s="110"/>
      <c r="AL638" s="110">
        <v>35.6</v>
      </c>
      <c r="AM638" s="110">
        <v>3548</v>
      </c>
      <c r="AN638" s="208">
        <f t="shared" si="981"/>
        <v>0</v>
      </c>
      <c r="AO638" s="208"/>
      <c r="AP638" s="110">
        <v>2393</v>
      </c>
      <c r="AQ638" s="1099">
        <f t="shared" si="985"/>
        <v>143746.25625000001</v>
      </c>
      <c r="AR638" s="76">
        <f t="shared" si="986"/>
        <v>362.08124999998836</v>
      </c>
      <c r="AS638" s="230">
        <f t="shared" si="987"/>
        <v>15.086718749999514</v>
      </c>
      <c r="AT638" s="208">
        <f t="shared" si="1006"/>
        <v>14287.106435011785</v>
      </c>
      <c r="AU638" s="110"/>
      <c r="AV638" s="230">
        <f t="shared" si="1007"/>
        <v>10999.357502186871</v>
      </c>
      <c r="AW638" s="855">
        <f t="shared" si="1005"/>
        <v>0.25624999999999176</v>
      </c>
      <c r="AX638" s="110"/>
      <c r="AY638" s="110"/>
      <c r="AZ638" s="110"/>
      <c r="BA638" s="110"/>
      <c r="BB638" s="110"/>
      <c r="BC638" s="110"/>
      <c r="BD638" s="110"/>
      <c r="BE638" s="110"/>
      <c r="BF638" s="110"/>
      <c r="BG638" s="110"/>
      <c r="BH638" s="110"/>
      <c r="BI638" s="110"/>
      <c r="BJ638" s="110"/>
      <c r="BK638" s="110"/>
      <c r="BL638" s="110"/>
      <c r="BM638" s="110"/>
      <c r="BN638" s="110"/>
      <c r="BO638" s="110"/>
      <c r="BP638" s="110"/>
      <c r="BQ638" s="110"/>
      <c r="BR638" s="110"/>
      <c r="BS638" s="110"/>
      <c r="BT638" s="110"/>
      <c r="BU638" s="110"/>
      <c r="BV638" s="110"/>
      <c r="BW638" s="110">
        <v>50.5</v>
      </c>
      <c r="BX638" s="110">
        <v>2229</v>
      </c>
      <c r="BY638" s="1054">
        <f t="shared" si="988"/>
        <v>0</v>
      </c>
      <c r="BZ638" s="1054"/>
      <c r="CA638" s="110">
        <v>1255</v>
      </c>
      <c r="CB638" s="1099">
        <f t="shared" si="990"/>
        <v>76414.84375</v>
      </c>
      <c r="CC638" s="208">
        <f t="shared" si="991"/>
        <v>61.328125</v>
      </c>
      <c r="CD638" s="208">
        <f t="shared" si="992"/>
        <v>2.5553385416666665</v>
      </c>
      <c r="CE638" s="230">
        <f t="shared" si="1008"/>
        <v>2613.4950795754103</v>
      </c>
      <c r="CF638" s="110"/>
      <c r="CG638" s="208">
        <f>CC638/(AVERAGE(BY638,BY639)*AVERAGE((D$615,D$612,D$578,D$604,D$583,D$591,D$598,D$626,D$633,D$619))*0.01)</f>
        <v>2012.0775918635165</v>
      </c>
      <c r="CH638" s="855">
        <f t="shared" si="915"/>
        <v>8.220928284182305E-2</v>
      </c>
      <c r="CI638" s="110"/>
      <c r="CJ638" s="110"/>
      <c r="CK638" s="110"/>
      <c r="CL638" s="110"/>
      <c r="CM638" s="110"/>
      <c r="CN638" s="110"/>
    </row>
    <row r="639" spans="1:92">
      <c r="A639" s="1034">
        <f t="shared" si="936"/>
        <v>41794</v>
      </c>
      <c r="B639" s="1035">
        <f t="shared" si="953"/>
        <v>0.33333333333333398</v>
      </c>
      <c r="C639" s="854">
        <f t="shared" si="977"/>
        <v>24</v>
      </c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  <c r="AA639" s="110"/>
      <c r="AB639" s="110"/>
      <c r="AC639" s="110"/>
      <c r="AD639" s="110"/>
      <c r="AE639" s="110"/>
      <c r="AF639" s="110"/>
      <c r="AG639" s="110"/>
      <c r="AH639" s="110"/>
      <c r="AI639" s="110"/>
      <c r="AJ639" s="110"/>
      <c r="AK639" s="110"/>
      <c r="AL639" s="110">
        <v>35.799999999999997</v>
      </c>
      <c r="AM639" s="110">
        <v>3549</v>
      </c>
      <c r="AN639" s="208">
        <f t="shared" si="981"/>
        <v>2.16</v>
      </c>
      <c r="AO639" s="208">
        <f t="shared" si="982"/>
        <v>654.16666666666663</v>
      </c>
      <c r="AP639" s="110">
        <v>2399</v>
      </c>
      <c r="AQ639" s="1099">
        <f t="shared" si="985"/>
        <v>144108.33750000002</v>
      </c>
      <c r="AR639" s="76">
        <f t="shared" si="986"/>
        <v>362.08125000001746</v>
      </c>
      <c r="AS639" s="230">
        <f t="shared" si="987"/>
        <v>15.086718750000728</v>
      </c>
      <c r="AT639" s="208">
        <f t="shared" si="1006"/>
        <v>14287.106435012933</v>
      </c>
      <c r="AU639" s="110"/>
      <c r="AV639" s="230">
        <f t="shared" si="1007"/>
        <v>10999.357502187755</v>
      </c>
      <c r="AW639" s="855">
        <f t="shared" si="1005"/>
        <v>0.25625000000001236</v>
      </c>
      <c r="AX639" s="110"/>
      <c r="AY639" s="110"/>
      <c r="AZ639" s="110"/>
      <c r="BA639" s="110"/>
      <c r="BB639" s="110"/>
      <c r="BC639" s="110"/>
      <c r="BD639" s="110"/>
      <c r="BE639" s="110"/>
      <c r="BF639" s="110"/>
      <c r="BG639" s="110"/>
      <c r="BH639" s="110"/>
      <c r="BI639" s="110"/>
      <c r="BJ639" s="110"/>
      <c r="BK639" s="110"/>
      <c r="BL639" s="110"/>
      <c r="BM639" s="110"/>
      <c r="BN639" s="110"/>
      <c r="BO639" s="110"/>
      <c r="BP639" s="110"/>
      <c r="BQ639" s="110"/>
      <c r="BR639" s="110"/>
      <c r="BS639" s="110"/>
      <c r="BT639" s="110"/>
      <c r="BU639" s="110"/>
      <c r="BV639" s="110"/>
      <c r="BW639" s="110">
        <v>50.5</v>
      </c>
      <c r="BX639" s="110">
        <v>2230</v>
      </c>
      <c r="BY639" s="1054">
        <f t="shared" si="988"/>
        <v>2</v>
      </c>
      <c r="BZ639" s="1054">
        <f t="shared" si="989"/>
        <v>373</v>
      </c>
      <c r="CA639" s="110">
        <v>1256</v>
      </c>
      <c r="CB639" s="1099">
        <f t="shared" si="990"/>
        <v>76476.171875</v>
      </c>
      <c r="CC639" s="208">
        <f t="shared" si="991"/>
        <v>61.328125</v>
      </c>
      <c r="CD639" s="208">
        <f t="shared" si="992"/>
        <v>2.5553385416666665</v>
      </c>
      <c r="CE639" s="230">
        <f t="shared" si="1008"/>
        <v>2613.4950795754103</v>
      </c>
      <c r="CF639" s="110"/>
      <c r="CG639" s="208">
        <f>CC639/(AVERAGE(BY639,BY640)*AVERAGE((D$615,D$612,D$578,D$604,D$583,D$591,D$598,D$626,D$633,D$619))*0.01)</f>
        <v>2012.0775918635165</v>
      </c>
      <c r="CH639" s="855">
        <f t="shared" si="915"/>
        <v>8.220928284182305E-2</v>
      </c>
      <c r="CI639" s="110"/>
      <c r="CJ639" s="110"/>
      <c r="CK639" s="110"/>
      <c r="CL639" s="110"/>
      <c r="CM639" s="110"/>
      <c r="CN639" s="110"/>
    </row>
    <row r="640" spans="1:92">
      <c r="A640" s="1034">
        <f t="shared" si="936"/>
        <v>41795</v>
      </c>
      <c r="B640" s="1035">
        <f t="shared" si="953"/>
        <v>0.33333333333333398</v>
      </c>
      <c r="C640" s="854">
        <f t="shared" si="977"/>
        <v>24</v>
      </c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  <c r="AA640" s="110"/>
      <c r="AB640" s="110"/>
      <c r="AC640" s="110"/>
      <c r="AD640" s="110"/>
      <c r="AE640" s="110"/>
      <c r="AF640" s="110"/>
      <c r="AG640" s="110"/>
      <c r="AH640" s="110"/>
      <c r="AI640" s="110"/>
      <c r="AJ640" s="110"/>
      <c r="AK640" s="110"/>
      <c r="AL640" s="110">
        <v>35.700000000000003</v>
      </c>
      <c r="AM640" s="110">
        <v>3549</v>
      </c>
      <c r="AN640" s="208">
        <f t="shared" si="981"/>
        <v>0</v>
      </c>
      <c r="AO640" s="208"/>
      <c r="AP640" s="110">
        <v>2406</v>
      </c>
      <c r="AQ640" s="1099">
        <f t="shared" si="985"/>
        <v>144530.765625</v>
      </c>
      <c r="AR640" s="76">
        <f t="shared" si="986"/>
        <v>422.42812499997672</v>
      </c>
      <c r="AS640" s="230">
        <f t="shared" si="987"/>
        <v>17.601171874999029</v>
      </c>
      <c r="AT640" s="208"/>
      <c r="AU640" s="110"/>
      <c r="AV640" s="230"/>
      <c r="AW640" s="855">
        <f t="shared" si="1005"/>
        <v>0.29895833333331684</v>
      </c>
      <c r="AX640" s="110"/>
      <c r="AY640" s="110"/>
      <c r="AZ640" s="110"/>
      <c r="BA640" s="110"/>
      <c r="BB640" s="110"/>
      <c r="BC640" s="110"/>
      <c r="BD640" s="110"/>
      <c r="BE640" s="110"/>
      <c r="BF640" s="110"/>
      <c r="BG640" s="110"/>
      <c r="BH640" s="110"/>
      <c r="BI640" s="110"/>
      <c r="BJ640" s="110"/>
      <c r="BK640" s="110"/>
      <c r="BL640" s="110"/>
      <c r="BM640" s="110"/>
      <c r="BN640" s="110"/>
      <c r="BO640" s="110"/>
      <c r="BP640" s="110"/>
      <c r="BQ640" s="110"/>
      <c r="BR640" s="110"/>
      <c r="BS640" s="110"/>
      <c r="BT640" s="110"/>
      <c r="BU640" s="110"/>
      <c r="BV640" s="110"/>
      <c r="BW640" s="110">
        <v>50.7</v>
      </c>
      <c r="BX640" s="110">
        <v>2230</v>
      </c>
      <c r="BY640" s="1054">
        <f t="shared" si="988"/>
        <v>0</v>
      </c>
      <c r="BZ640" s="1054"/>
      <c r="CA640" s="110">
        <v>1256</v>
      </c>
      <c r="CB640" s="1099">
        <f t="shared" si="990"/>
        <v>76476.171875</v>
      </c>
      <c r="CC640" s="208">
        <f t="shared" si="991"/>
        <v>0</v>
      </c>
      <c r="CD640" s="208">
        <f t="shared" si="992"/>
        <v>0</v>
      </c>
      <c r="CE640" s="230"/>
      <c r="CF640" s="110"/>
      <c r="CG640" s="208"/>
      <c r="CH640" s="855">
        <f t="shared" si="915"/>
        <v>0</v>
      </c>
      <c r="CI640" s="110"/>
      <c r="CJ640" s="110"/>
      <c r="CK640" s="110"/>
      <c r="CL640" s="110"/>
      <c r="CM640" s="110"/>
      <c r="CN640" s="110"/>
    </row>
    <row r="641" spans="1:92">
      <c r="A641" s="1034">
        <f t="shared" si="936"/>
        <v>41796</v>
      </c>
      <c r="B641" s="1035">
        <f t="shared" si="953"/>
        <v>0.33333333333333398</v>
      </c>
      <c r="C641" s="854">
        <f t="shared" si="977"/>
        <v>24</v>
      </c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  <c r="AA641" s="110"/>
      <c r="AB641" s="110"/>
      <c r="AC641" s="110"/>
      <c r="AD641" s="110"/>
      <c r="AE641" s="110"/>
      <c r="AF641" s="110"/>
      <c r="AG641" s="110"/>
      <c r="AH641" s="110"/>
      <c r="AI641" s="110"/>
      <c r="AJ641" s="110"/>
      <c r="AK641" s="110"/>
      <c r="AL641" s="110">
        <v>35.700000000000003</v>
      </c>
      <c r="AM641" s="110">
        <v>3549</v>
      </c>
      <c r="AN641" s="208">
        <f t="shared" si="981"/>
        <v>0</v>
      </c>
      <c r="AO641" s="208"/>
      <c r="AP641" s="110">
        <v>2412</v>
      </c>
      <c r="AQ641" s="1099">
        <f t="shared" si="985"/>
        <v>144892.84687500002</v>
      </c>
      <c r="AR641" s="76">
        <f t="shared" si="986"/>
        <v>362.08125000001746</v>
      </c>
      <c r="AS641" s="230">
        <f t="shared" si="987"/>
        <v>15.086718750000728</v>
      </c>
      <c r="AT641" s="208"/>
      <c r="AU641" s="110"/>
      <c r="AV641" s="230"/>
      <c r="AW641" s="855">
        <f t="shared" si="1005"/>
        <v>0.25625000000001236</v>
      </c>
      <c r="AX641" s="110"/>
      <c r="AY641" s="110"/>
      <c r="AZ641" s="110"/>
      <c r="BA641" s="110"/>
      <c r="BB641" s="110"/>
      <c r="BC641" s="110"/>
      <c r="BD641" s="110"/>
      <c r="BE641" s="110"/>
      <c r="BF641" s="110"/>
      <c r="BG641" s="110"/>
      <c r="BH641" s="110"/>
      <c r="BI641" s="110"/>
      <c r="BJ641" s="110"/>
      <c r="BK641" s="110"/>
      <c r="BL641" s="110"/>
      <c r="BM641" s="110"/>
      <c r="BN641" s="110"/>
      <c r="BO641" s="110"/>
      <c r="BP641" s="110"/>
      <c r="BQ641" s="110"/>
      <c r="BR641" s="110"/>
      <c r="BS641" s="110"/>
      <c r="BT641" s="110"/>
      <c r="BU641" s="110"/>
      <c r="BV641" s="110"/>
      <c r="BW641" s="110">
        <v>50.6</v>
      </c>
      <c r="BX641" s="110">
        <v>2230</v>
      </c>
      <c r="BY641" s="1054">
        <f t="shared" si="988"/>
        <v>0</v>
      </c>
      <c r="BZ641" s="1054"/>
      <c r="CA641" s="110">
        <v>1257</v>
      </c>
      <c r="CB641" s="1099">
        <f t="shared" si="990"/>
        <v>76537.5</v>
      </c>
      <c r="CC641" s="208">
        <f t="shared" si="991"/>
        <v>61.328125</v>
      </c>
      <c r="CD641" s="208">
        <f t="shared" si="992"/>
        <v>2.5553385416666665</v>
      </c>
      <c r="CE641" s="230"/>
      <c r="CF641" s="110"/>
      <c r="CG641" s="208"/>
      <c r="CH641" s="855">
        <f t="shared" si="915"/>
        <v>8.220928284182305E-2</v>
      </c>
      <c r="CI641" s="110"/>
      <c r="CJ641" s="110"/>
      <c r="CK641" s="110"/>
      <c r="CL641" s="110"/>
      <c r="CM641" s="110"/>
      <c r="CN641" s="110"/>
    </row>
    <row r="642" spans="1:92">
      <c r="A642" s="1034">
        <f t="shared" si="936"/>
        <v>41797</v>
      </c>
      <c r="B642" s="1035">
        <f t="shared" si="953"/>
        <v>0.33333333333333398</v>
      </c>
      <c r="C642" s="854">
        <f t="shared" si="977"/>
        <v>24</v>
      </c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  <c r="AA642" s="110"/>
      <c r="AB642" s="110"/>
      <c r="AC642" s="110"/>
      <c r="AD642" s="110"/>
      <c r="AE642" s="110"/>
      <c r="AF642" s="110"/>
      <c r="AG642" s="110"/>
      <c r="AH642" s="110"/>
      <c r="AI642" s="110"/>
      <c r="AJ642" s="110"/>
      <c r="AK642" s="110"/>
      <c r="AL642" s="110">
        <v>35.799999999999997</v>
      </c>
      <c r="AM642" s="110">
        <v>3549</v>
      </c>
      <c r="AN642" s="208">
        <f t="shared" si="981"/>
        <v>0</v>
      </c>
      <c r="AO642" s="208"/>
      <c r="AP642" s="110">
        <v>2418</v>
      </c>
      <c r="AQ642" s="1099">
        <f t="shared" si="985"/>
        <v>145254.92812500001</v>
      </c>
      <c r="AR642" s="76">
        <f t="shared" si="986"/>
        <v>362.08124999998836</v>
      </c>
      <c r="AS642" s="230">
        <f t="shared" si="987"/>
        <v>15.086718749999514</v>
      </c>
      <c r="AT642" s="208"/>
      <c r="AU642" s="110"/>
      <c r="AV642" s="230"/>
      <c r="AW642" s="855">
        <f t="shared" si="1005"/>
        <v>0.25624999999999176</v>
      </c>
      <c r="AX642" s="110"/>
      <c r="AY642" s="110"/>
      <c r="AZ642" s="110"/>
      <c r="BA642" s="110"/>
      <c r="BB642" s="110"/>
      <c r="BC642" s="110"/>
      <c r="BD642" s="110"/>
      <c r="BE642" s="110"/>
      <c r="BF642" s="110"/>
      <c r="BG642" s="110"/>
      <c r="BH642" s="110"/>
      <c r="BI642" s="110"/>
      <c r="BJ642" s="110"/>
      <c r="BK642" s="110"/>
      <c r="BL642" s="110"/>
      <c r="BM642" s="110"/>
      <c r="BN642" s="110"/>
      <c r="BO642" s="110"/>
      <c r="BP642" s="110"/>
      <c r="BQ642" s="110"/>
      <c r="BR642" s="110"/>
      <c r="BS642" s="110"/>
      <c r="BT642" s="110"/>
      <c r="BU642" s="110"/>
      <c r="BV642" s="110"/>
      <c r="BW642" s="110">
        <v>50.5</v>
      </c>
      <c r="BX642" s="110">
        <v>2230</v>
      </c>
      <c r="BY642" s="1054">
        <f t="shared" si="988"/>
        <v>0</v>
      </c>
      <c r="BZ642" s="1054"/>
      <c r="CA642" s="110">
        <v>1258</v>
      </c>
      <c r="CB642" s="1099">
        <f t="shared" si="990"/>
        <v>76598.828125</v>
      </c>
      <c r="CC642" s="208">
        <f t="shared" si="991"/>
        <v>61.328125</v>
      </c>
      <c r="CD642" s="208">
        <f t="shared" si="992"/>
        <v>2.5553385416666665</v>
      </c>
      <c r="CE642" s="230"/>
      <c r="CF642" s="110"/>
      <c r="CG642" s="208"/>
      <c r="CH642" s="855">
        <f t="shared" si="915"/>
        <v>8.220928284182305E-2</v>
      </c>
      <c r="CI642" s="110"/>
      <c r="CJ642" s="110"/>
      <c r="CK642" s="110"/>
      <c r="CL642" s="110"/>
      <c r="CM642" s="110"/>
      <c r="CN642" s="110"/>
    </row>
    <row r="643" spans="1:92">
      <c r="A643" s="1034">
        <f t="shared" si="936"/>
        <v>41798</v>
      </c>
      <c r="B643" s="1035">
        <f t="shared" si="953"/>
        <v>0.33333333333333398</v>
      </c>
      <c r="C643" s="854">
        <f t="shared" si="977"/>
        <v>24</v>
      </c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  <c r="AA643" s="110"/>
      <c r="AB643" s="110"/>
      <c r="AC643" s="110"/>
      <c r="AD643" s="110"/>
      <c r="AE643" s="110"/>
      <c r="AF643" s="110"/>
      <c r="AG643" s="110"/>
      <c r="AH643" s="110"/>
      <c r="AI643" s="110"/>
      <c r="AJ643" s="110"/>
      <c r="AK643" s="110"/>
      <c r="AL643" s="110">
        <v>35.6</v>
      </c>
      <c r="AM643" s="110">
        <v>3549</v>
      </c>
      <c r="AN643" s="208">
        <f t="shared" si="981"/>
        <v>0</v>
      </c>
      <c r="AO643" s="208"/>
      <c r="AP643" s="110">
        <v>2423</v>
      </c>
      <c r="AQ643" s="1099">
        <f t="shared" si="985"/>
        <v>145556.66250000001</v>
      </c>
      <c r="AR643" s="76">
        <f t="shared" si="986"/>
        <v>301.734375</v>
      </c>
      <c r="AS643" s="230">
        <f t="shared" si="987"/>
        <v>12.572265625</v>
      </c>
      <c r="AT643" s="208"/>
      <c r="AU643" s="110"/>
      <c r="AV643" s="230"/>
      <c r="AW643" s="855">
        <f t="shared" si="1005"/>
        <v>0.21354166666666666</v>
      </c>
      <c r="AX643" s="110"/>
      <c r="AY643" s="110"/>
      <c r="AZ643" s="110"/>
      <c r="BA643" s="110"/>
      <c r="BB643" s="110"/>
      <c r="BC643" s="110"/>
      <c r="BD643" s="110"/>
      <c r="BE643" s="110"/>
      <c r="BF643" s="110"/>
      <c r="BG643" s="110"/>
      <c r="BH643" s="110"/>
      <c r="BI643" s="110"/>
      <c r="BJ643" s="110"/>
      <c r="BK643" s="110"/>
      <c r="BL643" s="110"/>
      <c r="BM643" s="110"/>
      <c r="BN643" s="110"/>
      <c r="BO643" s="110"/>
      <c r="BP643" s="110"/>
      <c r="BQ643" s="110"/>
      <c r="BR643" s="110"/>
      <c r="BS643" s="110"/>
      <c r="BT643" s="110"/>
      <c r="BU643" s="110"/>
      <c r="BV643" s="110"/>
      <c r="BW643" s="110">
        <v>50.5</v>
      </c>
      <c r="BX643" s="110">
        <v>2230</v>
      </c>
      <c r="BY643" s="1054">
        <f t="shared" si="988"/>
        <v>0</v>
      </c>
      <c r="BZ643" s="1054"/>
      <c r="CA643" s="110">
        <v>1258</v>
      </c>
      <c r="CB643" s="1099">
        <f t="shared" si="990"/>
        <v>76598.828125</v>
      </c>
      <c r="CC643" s="208">
        <f t="shared" si="991"/>
        <v>0</v>
      </c>
      <c r="CD643" s="208">
        <f t="shared" si="992"/>
        <v>0</v>
      </c>
      <c r="CE643" s="230"/>
      <c r="CF643" s="110"/>
      <c r="CG643" s="208"/>
      <c r="CH643" s="855">
        <f t="shared" si="915"/>
        <v>0</v>
      </c>
      <c r="CI643" s="110"/>
      <c r="CJ643" s="110"/>
      <c r="CK643" s="110"/>
      <c r="CL643" s="110"/>
      <c r="CM643" s="110"/>
      <c r="CN643" s="110"/>
    </row>
    <row r="644" spans="1:92">
      <c r="A644" s="1034">
        <f t="shared" si="936"/>
        <v>41799</v>
      </c>
      <c r="B644" s="1035">
        <f t="shared" si="953"/>
        <v>0.33333333333333398</v>
      </c>
      <c r="C644" s="854">
        <f t="shared" si="977"/>
        <v>24</v>
      </c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  <c r="AA644" s="110"/>
      <c r="AB644" s="110"/>
      <c r="AC644" s="110"/>
      <c r="AD644" s="110"/>
      <c r="AE644" s="110"/>
      <c r="AF644" s="110"/>
      <c r="AG644" s="110"/>
      <c r="AH644" s="110"/>
      <c r="AI644" s="110"/>
      <c r="AJ644" s="110"/>
      <c r="AK644" s="110"/>
      <c r="AL644" s="110">
        <v>35.700000000000003</v>
      </c>
      <c r="AM644" s="110">
        <v>3549</v>
      </c>
      <c r="AN644" s="208">
        <f t="shared" si="981"/>
        <v>0</v>
      </c>
      <c r="AO644" s="208"/>
      <c r="AP644" s="110">
        <v>2429</v>
      </c>
      <c r="AQ644" s="1099">
        <f t="shared" si="985"/>
        <v>145918.74375000002</v>
      </c>
      <c r="AR644" s="76">
        <f t="shared" si="986"/>
        <v>362.08125000001746</v>
      </c>
      <c r="AS644" s="230">
        <f t="shared" si="987"/>
        <v>15.086718750000728</v>
      </c>
      <c r="AT644" s="208"/>
      <c r="AU644" s="110"/>
      <c r="AV644" s="230"/>
      <c r="AW644" s="855">
        <f t="shared" si="1005"/>
        <v>0.25625000000001236</v>
      </c>
      <c r="AX644" s="110"/>
      <c r="AY644" s="110"/>
      <c r="AZ644" s="110"/>
      <c r="BA644" s="110"/>
      <c r="BB644" s="110"/>
      <c r="BC644" s="110"/>
      <c r="BD644" s="110"/>
      <c r="BE644" s="110"/>
      <c r="BF644" s="110"/>
      <c r="BG644" s="110"/>
      <c r="BH644" s="110"/>
      <c r="BI644" s="110"/>
      <c r="BJ644" s="110"/>
      <c r="BK644" s="110"/>
      <c r="BL644" s="110"/>
      <c r="BM644" s="110"/>
      <c r="BN644" s="110"/>
      <c r="BO644" s="110"/>
      <c r="BP644" s="110"/>
      <c r="BQ644" s="110"/>
      <c r="BR644" s="110"/>
      <c r="BS644" s="110"/>
      <c r="BT644" s="110"/>
      <c r="BU644" s="110"/>
      <c r="BV644" s="110"/>
      <c r="BW644" s="110">
        <v>50.7</v>
      </c>
      <c r="BX644" s="110">
        <v>2230</v>
      </c>
      <c r="BY644" s="1054">
        <f t="shared" si="988"/>
        <v>0</v>
      </c>
      <c r="BZ644" s="1054"/>
      <c r="CA644" s="110">
        <v>1259</v>
      </c>
      <c r="CB644" s="1099">
        <f t="shared" si="990"/>
        <v>76660.15625</v>
      </c>
      <c r="CC644" s="208">
        <f t="shared" si="991"/>
        <v>61.328125</v>
      </c>
      <c r="CD644" s="208">
        <f t="shared" si="992"/>
        <v>2.5553385416666665</v>
      </c>
      <c r="CE644" s="230"/>
      <c r="CF644" s="110"/>
      <c r="CG644" s="208"/>
      <c r="CH644" s="855">
        <f t="shared" si="915"/>
        <v>8.220928284182305E-2</v>
      </c>
      <c r="CI644" s="110"/>
      <c r="CJ644" s="110"/>
      <c r="CK644" s="110"/>
      <c r="CL644" s="110"/>
      <c r="CM644" s="110"/>
      <c r="CN644" s="110"/>
    </row>
    <row r="645" spans="1:92">
      <c r="A645" s="1034">
        <f t="shared" si="936"/>
        <v>41800</v>
      </c>
      <c r="B645" s="1035">
        <f t="shared" si="953"/>
        <v>0.33333333333333398</v>
      </c>
      <c r="C645" s="854">
        <f t="shared" si="977"/>
        <v>24</v>
      </c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  <c r="AA645" s="110"/>
      <c r="AB645" s="110"/>
      <c r="AC645" s="110"/>
      <c r="AD645" s="110"/>
      <c r="AE645" s="110"/>
      <c r="AF645" s="110"/>
      <c r="AG645" s="110"/>
      <c r="AH645" s="110"/>
      <c r="AI645" s="110"/>
      <c r="AJ645" s="110"/>
      <c r="AK645" s="110"/>
      <c r="AL645" s="110">
        <v>35.700000000000003</v>
      </c>
      <c r="AM645" s="110">
        <v>3549</v>
      </c>
      <c r="AN645" s="208">
        <f t="shared" si="981"/>
        <v>0</v>
      </c>
      <c r="AO645" s="208"/>
      <c r="AP645" s="110">
        <v>2433</v>
      </c>
      <c r="AQ645" s="1099">
        <f t="shared" si="985"/>
        <v>146160.13125000001</v>
      </c>
      <c r="AR645" s="76">
        <f t="shared" si="986"/>
        <v>241.38749999998254</v>
      </c>
      <c r="AS645" s="230">
        <f t="shared" si="987"/>
        <v>10.057812499999272</v>
      </c>
      <c r="AT645" s="208"/>
      <c r="AU645" s="110"/>
      <c r="AV645" s="230"/>
      <c r="AW645" s="855">
        <f t="shared" si="1005"/>
        <v>0.17083333333332099</v>
      </c>
      <c r="AX645" s="110"/>
      <c r="AY645" s="110"/>
      <c r="AZ645" s="110"/>
      <c r="BA645" s="110"/>
      <c r="BB645" s="110"/>
      <c r="BC645" s="110"/>
      <c r="BD645" s="110"/>
      <c r="BE645" s="110"/>
      <c r="BF645" s="110"/>
      <c r="BG645" s="110"/>
      <c r="BH645" s="110"/>
      <c r="BI645" s="110"/>
      <c r="BJ645" s="110"/>
      <c r="BK645" s="110"/>
      <c r="BL645" s="110"/>
      <c r="BM645" s="110"/>
      <c r="BN645" s="110"/>
      <c r="BO645" s="110"/>
      <c r="BP645" s="110"/>
      <c r="BQ645" s="110"/>
      <c r="BR645" s="110"/>
      <c r="BS645" s="110"/>
      <c r="BT645" s="110"/>
      <c r="BU645" s="110"/>
      <c r="BV645" s="110"/>
      <c r="BW645" s="110">
        <v>50.5</v>
      </c>
      <c r="BX645" s="110">
        <v>2230</v>
      </c>
      <c r="BY645" s="1054">
        <f t="shared" si="988"/>
        <v>0</v>
      </c>
      <c r="BZ645" s="1054"/>
      <c r="CA645" s="110">
        <v>1260</v>
      </c>
      <c r="CB645" s="1099">
        <f t="shared" si="990"/>
        <v>76721.484375</v>
      </c>
      <c r="CC645" s="208">
        <f t="shared" si="991"/>
        <v>61.328125</v>
      </c>
      <c r="CD645" s="208">
        <f t="shared" si="992"/>
        <v>2.5553385416666665</v>
      </c>
      <c r="CE645" s="230"/>
      <c r="CF645" s="110"/>
      <c r="CG645" s="208"/>
      <c r="CH645" s="855">
        <f t="shared" si="915"/>
        <v>8.220928284182305E-2</v>
      </c>
      <c r="CI645" s="110"/>
      <c r="CJ645" s="110"/>
      <c r="CK645" s="110"/>
      <c r="CL645" s="110"/>
      <c r="CM645" s="110"/>
      <c r="CN645" s="110"/>
    </row>
    <row r="646" spans="1:92">
      <c r="A646" s="1034">
        <f t="shared" si="936"/>
        <v>41801</v>
      </c>
      <c r="B646" s="1035">
        <f t="shared" si="953"/>
        <v>0.33333333333333398</v>
      </c>
      <c r="C646" s="854">
        <f t="shared" si="977"/>
        <v>24</v>
      </c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  <c r="AA646" s="110"/>
      <c r="AB646" s="110"/>
      <c r="AC646" s="110"/>
      <c r="AD646" s="110"/>
      <c r="AE646" s="110"/>
      <c r="AF646" s="110"/>
      <c r="AG646" s="110"/>
      <c r="AH646" s="110"/>
      <c r="AI646" s="110"/>
      <c r="AJ646" s="110"/>
      <c r="AK646" s="110"/>
      <c r="AL646" s="110">
        <v>35.6</v>
      </c>
      <c r="AM646" s="110">
        <v>3549</v>
      </c>
      <c r="AN646" s="208">
        <f t="shared" si="981"/>
        <v>0</v>
      </c>
      <c r="AO646" s="208"/>
      <c r="AP646" s="110">
        <v>2439</v>
      </c>
      <c r="AQ646" s="1099">
        <f t="shared" si="985"/>
        <v>146522.21250000002</v>
      </c>
      <c r="AR646" s="76">
        <f t="shared" si="986"/>
        <v>362.08125000001746</v>
      </c>
      <c r="AS646" s="230">
        <f t="shared" si="987"/>
        <v>15.086718750000728</v>
      </c>
      <c r="AT646" s="208"/>
      <c r="AU646" s="110"/>
      <c r="AV646" s="230"/>
      <c r="AW646" s="855">
        <f t="shared" si="1005"/>
        <v>0.25625000000001236</v>
      </c>
      <c r="AX646" s="110"/>
      <c r="AY646" s="110"/>
      <c r="AZ646" s="110"/>
      <c r="BA646" s="110"/>
      <c r="BB646" s="110"/>
      <c r="BC646" s="110"/>
      <c r="BD646" s="110"/>
      <c r="BE646" s="110"/>
      <c r="BF646" s="110"/>
      <c r="BG646" s="110"/>
      <c r="BH646" s="110"/>
      <c r="BI646" s="110"/>
      <c r="BJ646" s="110"/>
      <c r="BK646" s="110"/>
      <c r="BL646" s="110"/>
      <c r="BM646" s="110"/>
      <c r="BN646" s="110"/>
      <c r="BO646" s="110"/>
      <c r="BP646" s="110"/>
      <c r="BQ646" s="110"/>
      <c r="BR646" s="110"/>
      <c r="BS646" s="110"/>
      <c r="BT646" s="110"/>
      <c r="BU646" s="110"/>
      <c r="BV646" s="110"/>
      <c r="BW646" s="110">
        <v>50.7</v>
      </c>
      <c r="BX646" s="110">
        <v>2230</v>
      </c>
      <c r="BY646" s="1054">
        <f t="shared" si="988"/>
        <v>0</v>
      </c>
      <c r="BZ646" s="1054"/>
      <c r="CA646" s="110">
        <v>1260</v>
      </c>
      <c r="CB646" s="1099">
        <f t="shared" si="990"/>
        <v>76721.484375</v>
      </c>
      <c r="CC646" s="208">
        <f t="shared" si="991"/>
        <v>0</v>
      </c>
      <c r="CD646" s="208">
        <f t="shared" si="992"/>
        <v>0</v>
      </c>
      <c r="CE646" s="230"/>
      <c r="CF646" s="110"/>
      <c r="CG646" s="208"/>
      <c r="CH646" s="855">
        <f t="shared" si="915"/>
        <v>0</v>
      </c>
      <c r="CI646" s="110"/>
      <c r="CJ646" s="110"/>
      <c r="CK646" s="110"/>
      <c r="CL646" s="110"/>
      <c r="CM646" s="110"/>
      <c r="CN646" s="110"/>
    </row>
    <row r="647" spans="1:92">
      <c r="A647" s="1034">
        <f t="shared" si="936"/>
        <v>41802</v>
      </c>
      <c r="B647" s="1035">
        <f t="shared" si="953"/>
        <v>0.33333333333333398</v>
      </c>
      <c r="C647" s="854">
        <f t="shared" si="977"/>
        <v>24</v>
      </c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  <c r="AA647" s="110"/>
      <c r="AB647" s="110"/>
      <c r="AC647" s="110"/>
      <c r="AD647" s="110"/>
      <c r="AE647" s="110"/>
      <c r="AF647" s="110"/>
      <c r="AG647" s="110"/>
      <c r="AH647" s="110"/>
      <c r="AI647" s="110"/>
      <c r="AJ647" s="110"/>
      <c r="AK647" s="110"/>
      <c r="AL647" s="110">
        <v>35.700000000000003</v>
      </c>
      <c r="AM647" s="110">
        <v>3549</v>
      </c>
      <c r="AN647" s="208">
        <f t="shared" si="981"/>
        <v>0</v>
      </c>
      <c r="AO647" s="208"/>
      <c r="AP647" s="110">
        <v>2444</v>
      </c>
      <c r="AQ647" s="1099">
        <f t="shared" si="985"/>
        <v>146823.94687500002</v>
      </c>
      <c r="AR647" s="76">
        <f t="shared" si="986"/>
        <v>301.734375</v>
      </c>
      <c r="AS647" s="230">
        <f t="shared" si="987"/>
        <v>12.572265625</v>
      </c>
      <c r="AT647" s="208"/>
      <c r="AU647" s="110"/>
      <c r="AV647" s="230"/>
      <c r="AW647" s="855">
        <f t="shared" si="1005"/>
        <v>0.21354166666666666</v>
      </c>
      <c r="AX647" s="110"/>
      <c r="AY647" s="110"/>
      <c r="AZ647" s="110"/>
      <c r="BA647" s="110"/>
      <c r="BB647" s="110"/>
      <c r="BC647" s="110"/>
      <c r="BD647" s="110"/>
      <c r="BE647" s="110"/>
      <c r="BF647" s="110"/>
      <c r="BG647" s="110"/>
      <c r="BH647" s="110"/>
      <c r="BI647" s="110"/>
      <c r="BJ647" s="110"/>
      <c r="BK647" s="110"/>
      <c r="BL647" s="110"/>
      <c r="BM647" s="110"/>
      <c r="BN647" s="110"/>
      <c r="BO647" s="110"/>
      <c r="BP647" s="110"/>
      <c r="BQ647" s="110"/>
      <c r="BR647" s="110"/>
      <c r="BS647" s="110"/>
      <c r="BT647" s="110"/>
      <c r="BU647" s="110"/>
      <c r="BV647" s="110"/>
      <c r="BW647" s="110">
        <v>50.6</v>
      </c>
      <c r="BX647" s="110">
        <v>2230</v>
      </c>
      <c r="BY647" s="1054">
        <f t="shared" si="988"/>
        <v>0</v>
      </c>
      <c r="BZ647" s="1054"/>
      <c r="CA647" s="110">
        <v>1260</v>
      </c>
      <c r="CB647" s="1099">
        <f t="shared" si="990"/>
        <v>76721.484375</v>
      </c>
      <c r="CC647" s="208">
        <f t="shared" si="991"/>
        <v>0</v>
      </c>
      <c r="CD647" s="208">
        <f t="shared" si="992"/>
        <v>0</v>
      </c>
      <c r="CE647" s="230"/>
      <c r="CF647" s="110"/>
      <c r="CG647" s="208"/>
      <c r="CH647" s="855">
        <f t="shared" si="915"/>
        <v>0</v>
      </c>
      <c r="CI647" s="110"/>
      <c r="CJ647" s="110"/>
      <c r="CK647" s="110"/>
      <c r="CL647" s="110"/>
      <c r="CM647" s="110"/>
      <c r="CN647" s="110"/>
    </row>
    <row r="648" spans="1:92">
      <c r="A648" s="1034">
        <f t="shared" si="936"/>
        <v>41803</v>
      </c>
      <c r="B648" s="1035">
        <f t="shared" si="953"/>
        <v>0.33333333333333398</v>
      </c>
      <c r="C648" s="854">
        <f t="shared" si="977"/>
        <v>24</v>
      </c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  <c r="AA648" s="110"/>
      <c r="AB648" s="110"/>
      <c r="AC648" s="110"/>
      <c r="AD648" s="110"/>
      <c r="AE648" s="110"/>
      <c r="AF648" s="110"/>
      <c r="AG648" s="110"/>
      <c r="AH648" s="110"/>
      <c r="AI648" s="110"/>
      <c r="AJ648" s="110"/>
      <c r="AK648" s="110"/>
      <c r="AL648" s="110">
        <v>35.700000000000003</v>
      </c>
      <c r="AM648" s="110">
        <v>3549</v>
      </c>
      <c r="AN648" s="208">
        <f t="shared" si="981"/>
        <v>0</v>
      </c>
      <c r="AO648" s="208"/>
      <c r="AP648" s="110">
        <v>2450</v>
      </c>
      <c r="AQ648" s="1099">
        <f t="shared" si="985"/>
        <v>147186.02812500001</v>
      </c>
      <c r="AR648" s="76">
        <f t="shared" si="986"/>
        <v>362.08124999998836</v>
      </c>
      <c r="AS648" s="230">
        <f t="shared" si="987"/>
        <v>15.086718749999514</v>
      </c>
      <c r="AT648" s="208"/>
      <c r="AU648" s="110"/>
      <c r="AV648" s="230"/>
      <c r="AW648" s="855">
        <f t="shared" si="1005"/>
        <v>0.25624999999999176</v>
      </c>
      <c r="AX648" s="110"/>
      <c r="AY648" s="110"/>
      <c r="AZ648" s="110"/>
      <c r="BA648" s="110"/>
      <c r="BB648" s="110"/>
      <c r="BC648" s="110"/>
      <c r="BD648" s="110"/>
      <c r="BE648" s="110"/>
      <c r="BF648" s="110"/>
      <c r="BG648" s="110"/>
      <c r="BH648" s="110"/>
      <c r="BI648" s="110"/>
      <c r="BJ648" s="110"/>
      <c r="BK648" s="110"/>
      <c r="BL648" s="110"/>
      <c r="BM648" s="110"/>
      <c r="BN648" s="110"/>
      <c r="BO648" s="110"/>
      <c r="BP648" s="110"/>
      <c r="BQ648" s="110"/>
      <c r="BR648" s="110"/>
      <c r="BS648" s="110"/>
      <c r="BT648" s="110"/>
      <c r="BU648" s="110"/>
      <c r="BV648" s="110"/>
      <c r="BW648" s="110">
        <v>50.5</v>
      </c>
      <c r="BX648" s="110">
        <v>2230</v>
      </c>
      <c r="BY648" s="1054">
        <f t="shared" si="988"/>
        <v>0</v>
      </c>
      <c r="BZ648" s="1054"/>
      <c r="CA648" s="110">
        <v>1261</v>
      </c>
      <c r="CB648" s="1099">
        <f t="shared" si="990"/>
        <v>76782.8125</v>
      </c>
      <c r="CC648" s="208">
        <f t="shared" si="991"/>
        <v>61.328125</v>
      </c>
      <c r="CD648" s="208">
        <f t="shared" si="992"/>
        <v>2.5553385416666665</v>
      </c>
      <c r="CE648" s="230"/>
      <c r="CF648" s="110"/>
      <c r="CG648" s="208"/>
      <c r="CH648" s="855">
        <f t="shared" ref="CH648:CH660" si="1009">CC648/CB$3</f>
        <v>8.220928284182305E-2</v>
      </c>
      <c r="CI648" s="110"/>
      <c r="CJ648" s="110"/>
      <c r="CK648" s="110"/>
      <c r="CL648" s="110"/>
      <c r="CM648" s="110"/>
      <c r="CN648" s="110"/>
    </row>
    <row r="649" spans="1:92">
      <c r="A649" s="1034">
        <f t="shared" si="936"/>
        <v>41804</v>
      </c>
      <c r="B649" s="1035">
        <f t="shared" si="953"/>
        <v>0.33333333333333398</v>
      </c>
      <c r="C649" s="854">
        <f t="shared" si="977"/>
        <v>24</v>
      </c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  <c r="AA649" s="110"/>
      <c r="AB649" s="110"/>
      <c r="AC649" s="110"/>
      <c r="AD649" s="110"/>
      <c r="AE649" s="110"/>
      <c r="AF649" s="110"/>
      <c r="AG649" s="110"/>
      <c r="AH649" s="110"/>
      <c r="AI649" s="110"/>
      <c r="AJ649" s="110"/>
      <c r="AK649" s="110"/>
      <c r="AL649" s="110">
        <v>35.799999999999997</v>
      </c>
      <c r="AM649" s="110">
        <v>3549</v>
      </c>
      <c r="AN649" s="208">
        <f t="shared" si="981"/>
        <v>0</v>
      </c>
      <c r="AO649" s="208"/>
      <c r="AP649" s="110">
        <v>2455</v>
      </c>
      <c r="AQ649" s="1099">
        <f t="shared" si="985"/>
        <v>147487.76250000001</v>
      </c>
      <c r="AR649" s="76">
        <f t="shared" si="986"/>
        <v>301.734375</v>
      </c>
      <c r="AS649" s="230">
        <f t="shared" si="987"/>
        <v>12.572265625</v>
      </c>
      <c r="AT649" s="208"/>
      <c r="AU649" s="110"/>
      <c r="AV649" s="230"/>
      <c r="AW649" s="855">
        <f t="shared" si="1005"/>
        <v>0.21354166666666666</v>
      </c>
      <c r="AX649" s="110"/>
      <c r="AY649" s="110"/>
      <c r="AZ649" s="110"/>
      <c r="BA649" s="110"/>
      <c r="BB649" s="110"/>
      <c r="BC649" s="110"/>
      <c r="BD649" s="110"/>
      <c r="BE649" s="110"/>
      <c r="BF649" s="110"/>
      <c r="BG649" s="110"/>
      <c r="BH649" s="110"/>
      <c r="BI649" s="110"/>
      <c r="BJ649" s="110"/>
      <c r="BK649" s="110"/>
      <c r="BL649" s="110"/>
      <c r="BM649" s="110"/>
      <c r="BN649" s="110"/>
      <c r="BO649" s="110"/>
      <c r="BP649" s="110"/>
      <c r="BQ649" s="110"/>
      <c r="BR649" s="110"/>
      <c r="BS649" s="110"/>
      <c r="BT649" s="110"/>
      <c r="BU649" s="110"/>
      <c r="BV649" s="110"/>
      <c r="BW649" s="110">
        <v>50.7</v>
      </c>
      <c r="BX649" s="110">
        <v>2230</v>
      </c>
      <c r="BY649" s="1054">
        <f t="shared" si="988"/>
        <v>0</v>
      </c>
      <c r="BZ649" s="1054"/>
      <c r="CA649" s="110">
        <v>1262</v>
      </c>
      <c r="CB649" s="1099">
        <f t="shared" si="990"/>
        <v>76844.140625</v>
      </c>
      <c r="CC649" s="208">
        <f t="shared" si="991"/>
        <v>61.328125</v>
      </c>
      <c r="CD649" s="208">
        <f t="shared" si="992"/>
        <v>2.5553385416666665</v>
      </c>
      <c r="CE649" s="230"/>
      <c r="CF649" s="110"/>
      <c r="CG649" s="208"/>
      <c r="CH649" s="855">
        <f t="shared" si="1009"/>
        <v>8.220928284182305E-2</v>
      </c>
      <c r="CI649" s="110"/>
      <c r="CJ649" s="110"/>
      <c r="CK649" s="110"/>
      <c r="CL649" s="110"/>
      <c r="CM649" s="110"/>
      <c r="CN649" s="110"/>
    </row>
    <row r="650" spans="1:92">
      <c r="A650" s="1034">
        <f t="shared" si="936"/>
        <v>41805</v>
      </c>
      <c r="B650" s="1035">
        <f t="shared" si="953"/>
        <v>0.33333333333333398</v>
      </c>
      <c r="C650" s="854">
        <f t="shared" si="977"/>
        <v>24</v>
      </c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  <c r="AA650" s="110"/>
      <c r="AB650" s="110"/>
      <c r="AC650" s="110"/>
      <c r="AD650" s="110"/>
      <c r="AE650" s="110"/>
      <c r="AF650" s="110"/>
      <c r="AG650" s="110"/>
      <c r="AH650" s="110"/>
      <c r="AI650" s="110"/>
      <c r="AJ650" s="110"/>
      <c r="AK650" s="110"/>
      <c r="AL650" s="110">
        <v>35.6</v>
      </c>
      <c r="AM650" s="110">
        <v>3549</v>
      </c>
      <c r="AN650" s="208">
        <f t="shared" si="981"/>
        <v>0</v>
      </c>
      <c r="AO650" s="208"/>
      <c r="AP650" s="110">
        <v>2461</v>
      </c>
      <c r="AQ650" s="1099">
        <f t="shared" si="985"/>
        <v>147849.84375</v>
      </c>
      <c r="AR650" s="76">
        <f t="shared" si="986"/>
        <v>362.08124999998836</v>
      </c>
      <c r="AS650" s="230">
        <f t="shared" si="987"/>
        <v>15.086718749999514</v>
      </c>
      <c r="AT650" s="208"/>
      <c r="AU650" s="110"/>
      <c r="AV650" s="230"/>
      <c r="AW650" s="855">
        <f t="shared" si="1005"/>
        <v>0.25624999999999176</v>
      </c>
      <c r="AX650" s="110"/>
      <c r="AY650" s="110"/>
      <c r="AZ650" s="110"/>
      <c r="BA650" s="110"/>
      <c r="BB650" s="110"/>
      <c r="BC650" s="110"/>
      <c r="BD650" s="110"/>
      <c r="BE650" s="110"/>
      <c r="BF650" s="110"/>
      <c r="BG650" s="110"/>
      <c r="BH650" s="110"/>
      <c r="BI650" s="110"/>
      <c r="BJ650" s="110"/>
      <c r="BK650" s="110"/>
      <c r="BL650" s="110"/>
      <c r="BM650" s="110"/>
      <c r="BN650" s="110"/>
      <c r="BO650" s="110"/>
      <c r="BP650" s="110"/>
      <c r="BQ650" s="110"/>
      <c r="BR650" s="110"/>
      <c r="BS650" s="110"/>
      <c r="BT650" s="110"/>
      <c r="BU650" s="110"/>
      <c r="BV650" s="110"/>
      <c r="BW650" s="110">
        <v>50.7</v>
      </c>
      <c r="BX650" s="110">
        <v>2230</v>
      </c>
      <c r="BY650" s="1054">
        <f t="shared" si="988"/>
        <v>0</v>
      </c>
      <c r="BZ650" s="1054"/>
      <c r="CA650" s="110">
        <v>1262</v>
      </c>
      <c r="CB650" s="1099">
        <f t="shared" si="990"/>
        <v>76844.140625</v>
      </c>
      <c r="CC650" s="208">
        <f t="shared" si="991"/>
        <v>0</v>
      </c>
      <c r="CD650" s="208">
        <f t="shared" si="992"/>
        <v>0</v>
      </c>
      <c r="CE650" s="230"/>
      <c r="CF650" s="110"/>
      <c r="CG650" s="208"/>
      <c r="CH650" s="855">
        <f t="shared" si="1009"/>
        <v>0</v>
      </c>
      <c r="CI650" s="110"/>
      <c r="CJ650" s="110"/>
      <c r="CK650" s="110"/>
      <c r="CL650" s="110"/>
      <c r="CM650" s="110"/>
      <c r="CN650" s="110"/>
    </row>
    <row r="651" spans="1:92">
      <c r="A651" s="1034">
        <f t="shared" si="936"/>
        <v>41806</v>
      </c>
      <c r="B651" s="1035">
        <f t="shared" si="953"/>
        <v>0.33333333333333398</v>
      </c>
      <c r="C651" s="854">
        <f t="shared" si="977"/>
        <v>24</v>
      </c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  <c r="AA651" s="110"/>
      <c r="AB651" s="110"/>
      <c r="AC651" s="110"/>
      <c r="AD651" s="110"/>
      <c r="AE651" s="110"/>
      <c r="AF651" s="110"/>
      <c r="AG651" s="110"/>
      <c r="AH651" s="110"/>
      <c r="AI651" s="110"/>
      <c r="AJ651" s="110"/>
      <c r="AK651" s="110"/>
      <c r="AL651" s="110">
        <v>35.6</v>
      </c>
      <c r="AM651" s="110">
        <v>3549</v>
      </c>
      <c r="AN651" s="208">
        <f t="shared" si="981"/>
        <v>0</v>
      </c>
      <c r="AO651" s="208"/>
      <c r="AP651" s="110">
        <v>2467</v>
      </c>
      <c r="AQ651" s="1099">
        <f t="shared" si="985"/>
        <v>148211.92500000002</v>
      </c>
      <c r="AR651" s="76">
        <f t="shared" si="986"/>
        <v>362.08125000001746</v>
      </c>
      <c r="AS651" s="230">
        <f t="shared" si="987"/>
        <v>15.086718750000728</v>
      </c>
      <c r="AT651" s="208"/>
      <c r="AU651" s="110"/>
      <c r="AV651" s="230"/>
      <c r="AW651" s="855">
        <f t="shared" si="1005"/>
        <v>0.25625000000001236</v>
      </c>
      <c r="AX651" s="110"/>
      <c r="AY651" s="110"/>
      <c r="AZ651" s="110"/>
      <c r="BA651" s="110"/>
      <c r="BB651" s="110"/>
      <c r="BC651" s="110"/>
      <c r="BD651" s="110"/>
      <c r="BE651" s="110"/>
      <c r="BF651" s="110"/>
      <c r="BG651" s="110"/>
      <c r="BH651" s="110"/>
      <c r="BI651" s="110"/>
      <c r="BJ651" s="110"/>
      <c r="BK651" s="110"/>
      <c r="BL651" s="110"/>
      <c r="BM651" s="110"/>
      <c r="BN651" s="110"/>
      <c r="BO651" s="110"/>
      <c r="BP651" s="110"/>
      <c r="BQ651" s="110"/>
      <c r="BR651" s="110"/>
      <c r="BS651" s="110"/>
      <c r="BT651" s="110"/>
      <c r="BU651" s="110"/>
      <c r="BV651" s="110"/>
      <c r="BW651" s="110">
        <v>50.5</v>
      </c>
      <c r="BX651" s="110">
        <v>2230</v>
      </c>
      <c r="BY651" s="1054">
        <f t="shared" si="988"/>
        <v>0</v>
      </c>
      <c r="BZ651" s="1054"/>
      <c r="CA651" s="110">
        <v>1263</v>
      </c>
      <c r="CB651" s="1099">
        <f t="shared" si="990"/>
        <v>76905.46875</v>
      </c>
      <c r="CC651" s="208">
        <f t="shared" si="991"/>
        <v>61.328125</v>
      </c>
      <c r="CD651" s="208">
        <f t="shared" si="992"/>
        <v>2.5553385416666665</v>
      </c>
      <c r="CE651" s="230"/>
      <c r="CF651" s="110"/>
      <c r="CG651" s="208"/>
      <c r="CH651" s="855">
        <f t="shared" si="1009"/>
        <v>8.220928284182305E-2</v>
      </c>
      <c r="CI651" s="110"/>
      <c r="CJ651" s="110"/>
      <c r="CK651" s="110"/>
      <c r="CL651" s="110"/>
      <c r="CM651" s="110"/>
      <c r="CN651" s="110"/>
    </row>
    <row r="652" spans="1:92">
      <c r="A652" s="1034">
        <f t="shared" si="936"/>
        <v>41807</v>
      </c>
      <c r="B652" s="1035">
        <f t="shared" si="953"/>
        <v>0.33333333333333398</v>
      </c>
      <c r="C652" s="854">
        <f t="shared" si="977"/>
        <v>24</v>
      </c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  <c r="AA652" s="110"/>
      <c r="AB652" s="110"/>
      <c r="AC652" s="110"/>
      <c r="AD652" s="110"/>
      <c r="AE652" s="110"/>
      <c r="AF652" s="110"/>
      <c r="AG652" s="110"/>
      <c r="AH652" s="110"/>
      <c r="AI652" s="110"/>
      <c r="AJ652" s="110"/>
      <c r="AK652" s="110"/>
      <c r="AL652" s="110">
        <v>35.700000000000003</v>
      </c>
      <c r="AM652" s="110">
        <v>3549</v>
      </c>
      <c r="AN652" s="208">
        <f t="shared" si="981"/>
        <v>0</v>
      </c>
      <c r="AO652" s="208"/>
      <c r="AP652" s="110">
        <v>2473</v>
      </c>
      <c r="AQ652" s="1099">
        <f t="shared" si="985"/>
        <v>148574.00625000001</v>
      </c>
      <c r="AR652" s="76">
        <f t="shared" si="986"/>
        <v>362.08124999998836</v>
      </c>
      <c r="AS652" s="230">
        <f t="shared" si="987"/>
        <v>15.086718749999514</v>
      </c>
      <c r="AT652" s="208"/>
      <c r="AU652" s="110"/>
      <c r="AV652" s="230"/>
      <c r="AW652" s="855">
        <f t="shared" si="1005"/>
        <v>0.25624999999999176</v>
      </c>
      <c r="AX652" s="110"/>
      <c r="AY652" s="110"/>
      <c r="AZ652" s="110"/>
      <c r="BA652" s="110"/>
      <c r="BB652" s="110"/>
      <c r="BC652" s="110"/>
      <c r="BD652" s="110"/>
      <c r="BE652" s="110"/>
      <c r="BF652" s="110"/>
      <c r="BG652" s="110"/>
      <c r="BH652" s="110"/>
      <c r="BI652" s="110"/>
      <c r="BJ652" s="110"/>
      <c r="BK652" s="110"/>
      <c r="BL652" s="110"/>
      <c r="BM652" s="110"/>
      <c r="BN652" s="110"/>
      <c r="BO652" s="110"/>
      <c r="BP652" s="110"/>
      <c r="BQ652" s="110"/>
      <c r="BR652" s="110"/>
      <c r="BS652" s="110"/>
      <c r="BT652" s="110"/>
      <c r="BU652" s="110"/>
      <c r="BV652" s="110"/>
      <c r="BW652" s="110">
        <v>50.5</v>
      </c>
      <c r="BX652" s="110">
        <v>2230</v>
      </c>
      <c r="BY652" s="1054">
        <f t="shared" si="988"/>
        <v>0</v>
      </c>
      <c r="BZ652" s="1054"/>
      <c r="CA652" s="110">
        <v>1263</v>
      </c>
      <c r="CB652" s="1099">
        <f t="shared" si="990"/>
        <v>76905.46875</v>
      </c>
      <c r="CC652" s="208">
        <f t="shared" si="991"/>
        <v>0</v>
      </c>
      <c r="CD652" s="208">
        <f t="shared" si="992"/>
        <v>0</v>
      </c>
      <c r="CE652" s="230"/>
      <c r="CF652" s="110"/>
      <c r="CG652" s="208"/>
      <c r="CH652" s="855">
        <f t="shared" si="1009"/>
        <v>0</v>
      </c>
      <c r="CI652" s="110"/>
      <c r="CJ652" s="110"/>
      <c r="CK652" s="110"/>
      <c r="CL652" s="110"/>
      <c r="CM652" s="110"/>
      <c r="CN652" s="110"/>
    </row>
    <row r="653" spans="1:92">
      <c r="A653" s="1034">
        <f t="shared" si="936"/>
        <v>41808</v>
      </c>
      <c r="B653" s="1035">
        <f t="shared" si="953"/>
        <v>0.33333333333333398</v>
      </c>
      <c r="C653" s="854">
        <f t="shared" si="977"/>
        <v>24</v>
      </c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  <c r="AA653" s="110"/>
      <c r="AB653" s="110"/>
      <c r="AC653" s="110"/>
      <c r="AD653" s="110"/>
      <c r="AE653" s="110"/>
      <c r="AF653" s="110"/>
      <c r="AG653" s="110"/>
      <c r="AH653" s="110"/>
      <c r="AI653" s="110"/>
      <c r="AJ653" s="110"/>
      <c r="AK653" s="110"/>
      <c r="AL653" s="110">
        <v>35.6</v>
      </c>
      <c r="AM653" s="110">
        <v>3549</v>
      </c>
      <c r="AN653" s="208">
        <f t="shared" si="981"/>
        <v>0</v>
      </c>
      <c r="AO653" s="208"/>
      <c r="AP653" s="110">
        <v>2479</v>
      </c>
      <c r="AQ653" s="1099">
        <f t="shared" si="985"/>
        <v>148936.08750000002</v>
      </c>
      <c r="AR653" s="76">
        <f t="shared" si="986"/>
        <v>362.08125000001746</v>
      </c>
      <c r="AS653" s="230">
        <f t="shared" si="987"/>
        <v>15.086718750000728</v>
      </c>
      <c r="AT653" s="208"/>
      <c r="AU653" s="110"/>
      <c r="AV653" s="230"/>
      <c r="AW653" s="855">
        <f t="shared" si="1005"/>
        <v>0.25625000000001236</v>
      </c>
      <c r="AX653" s="110"/>
      <c r="AY653" s="110"/>
      <c r="AZ653" s="110"/>
      <c r="BA653" s="110"/>
      <c r="BB653" s="110"/>
      <c r="BC653" s="110"/>
      <c r="BD653" s="110"/>
      <c r="BE653" s="110"/>
      <c r="BF653" s="110"/>
      <c r="BG653" s="110"/>
      <c r="BH653" s="110"/>
      <c r="BI653" s="110"/>
      <c r="BJ653" s="110"/>
      <c r="BK653" s="110"/>
      <c r="BL653" s="110"/>
      <c r="BM653" s="110"/>
      <c r="BN653" s="110"/>
      <c r="BO653" s="110"/>
      <c r="BP653" s="110"/>
      <c r="BQ653" s="110"/>
      <c r="BR653" s="110"/>
      <c r="BS653" s="110"/>
      <c r="BT653" s="110"/>
      <c r="BU653" s="110"/>
      <c r="BV653" s="110"/>
      <c r="BW653" s="110">
        <v>50.8</v>
      </c>
      <c r="BX653" s="110">
        <v>2230</v>
      </c>
      <c r="BY653" s="1054">
        <f t="shared" si="988"/>
        <v>0</v>
      </c>
      <c r="BZ653" s="1054"/>
      <c r="CA653" s="110">
        <v>1264</v>
      </c>
      <c r="CB653" s="1099">
        <f t="shared" si="990"/>
        <v>76966.796875</v>
      </c>
      <c r="CC653" s="208">
        <f t="shared" si="991"/>
        <v>61.328125</v>
      </c>
      <c r="CD653" s="208">
        <f t="shared" si="992"/>
        <v>2.5553385416666665</v>
      </c>
      <c r="CE653" s="230"/>
      <c r="CF653" s="110"/>
      <c r="CG653" s="208"/>
      <c r="CH653" s="855">
        <f t="shared" si="1009"/>
        <v>8.220928284182305E-2</v>
      </c>
      <c r="CI653" s="110"/>
      <c r="CJ653" s="110"/>
      <c r="CK653" s="110"/>
      <c r="CL653" s="110"/>
      <c r="CM653" s="110"/>
      <c r="CN653" s="110"/>
    </row>
    <row r="654" spans="1:92">
      <c r="A654" s="1034">
        <f t="shared" si="936"/>
        <v>41809</v>
      </c>
      <c r="B654" s="1035">
        <f t="shared" si="953"/>
        <v>0.33333333333333398</v>
      </c>
      <c r="C654" s="854">
        <f t="shared" si="977"/>
        <v>24</v>
      </c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  <c r="AA654" s="110"/>
      <c r="AB654" s="110"/>
      <c r="AC654" s="110"/>
      <c r="AD654" s="110"/>
      <c r="AE654" s="110"/>
      <c r="AF654" s="110"/>
      <c r="AG654" s="110"/>
      <c r="AH654" s="110"/>
      <c r="AI654" s="110"/>
      <c r="AJ654" s="110"/>
      <c r="AK654" s="110"/>
      <c r="AL654" s="110">
        <v>35.5</v>
      </c>
      <c r="AM654" s="110">
        <v>3549</v>
      </c>
      <c r="AN654" s="208">
        <f t="shared" si="981"/>
        <v>0</v>
      </c>
      <c r="AO654" s="208"/>
      <c r="AP654" s="110">
        <v>2484</v>
      </c>
      <c r="AQ654" s="1099">
        <f t="shared" si="985"/>
        <v>149237.82187500002</v>
      </c>
      <c r="AR654" s="76">
        <f t="shared" si="986"/>
        <v>301.734375</v>
      </c>
      <c r="AS654" s="230">
        <f t="shared" si="987"/>
        <v>12.572265625</v>
      </c>
      <c r="AT654" s="208"/>
      <c r="AU654" s="110"/>
      <c r="AV654" s="230"/>
      <c r="AW654" s="855">
        <f t="shared" si="1005"/>
        <v>0.21354166666666666</v>
      </c>
      <c r="AX654" s="110"/>
      <c r="AY654" s="110"/>
      <c r="AZ654" s="110"/>
      <c r="BA654" s="110"/>
      <c r="BB654" s="110"/>
      <c r="BC654" s="110"/>
      <c r="BD654" s="110"/>
      <c r="BE654" s="110"/>
      <c r="BF654" s="110"/>
      <c r="BG654" s="110"/>
      <c r="BH654" s="110"/>
      <c r="BI654" s="110"/>
      <c r="BJ654" s="110"/>
      <c r="BK654" s="110"/>
      <c r="BL654" s="110"/>
      <c r="BM654" s="110"/>
      <c r="BN654" s="110"/>
      <c r="BO654" s="110"/>
      <c r="BP654" s="110"/>
      <c r="BQ654" s="110"/>
      <c r="BR654" s="110"/>
      <c r="BS654" s="110"/>
      <c r="BT654" s="110"/>
      <c r="BU654" s="110"/>
      <c r="BV654" s="110"/>
      <c r="BW654" s="110">
        <v>50.5</v>
      </c>
      <c r="BX654" s="110">
        <v>2230</v>
      </c>
      <c r="BY654" s="1054">
        <f t="shared" si="988"/>
        <v>0</v>
      </c>
      <c r="BZ654" s="1054"/>
      <c r="CA654" s="110">
        <v>1264</v>
      </c>
      <c r="CB654" s="1099">
        <f t="shared" si="990"/>
        <v>76966.796875</v>
      </c>
      <c r="CC654" s="208">
        <f t="shared" si="991"/>
        <v>0</v>
      </c>
      <c r="CD654" s="208">
        <f t="shared" si="992"/>
        <v>0</v>
      </c>
      <c r="CE654" s="230"/>
      <c r="CF654" s="110"/>
      <c r="CG654" s="208"/>
      <c r="CH654" s="855">
        <f t="shared" si="1009"/>
        <v>0</v>
      </c>
      <c r="CI654" s="110"/>
      <c r="CJ654" s="110"/>
      <c r="CK654" s="110"/>
      <c r="CL654" s="110"/>
      <c r="CM654" s="110"/>
      <c r="CN654" s="110"/>
    </row>
    <row r="655" spans="1:92">
      <c r="A655" s="1034">
        <f t="shared" si="936"/>
        <v>41810</v>
      </c>
      <c r="B655" s="1035">
        <f t="shared" si="953"/>
        <v>0.33333333333333398</v>
      </c>
      <c r="C655" s="854">
        <f t="shared" si="977"/>
        <v>24</v>
      </c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  <c r="AA655" s="110"/>
      <c r="AB655" s="110"/>
      <c r="AC655" s="110"/>
      <c r="AD655" s="110"/>
      <c r="AE655" s="110"/>
      <c r="AF655" s="110"/>
      <c r="AG655" s="110"/>
      <c r="AH655" s="110"/>
      <c r="AI655" s="110"/>
      <c r="AJ655" s="110"/>
      <c r="AK655" s="110"/>
      <c r="AL655" s="110">
        <v>35.799999999999997</v>
      </c>
      <c r="AM655" s="110">
        <v>3549</v>
      </c>
      <c r="AN655" s="208">
        <f t="shared" si="981"/>
        <v>0</v>
      </c>
      <c r="AO655" s="208"/>
      <c r="AP655" s="110">
        <v>2489</v>
      </c>
      <c r="AQ655" s="1099">
        <f t="shared" si="985"/>
        <v>149539.55625000002</v>
      </c>
      <c r="AR655" s="76">
        <f t="shared" si="986"/>
        <v>301.734375</v>
      </c>
      <c r="AS655" s="230">
        <f t="shared" si="987"/>
        <v>12.572265625</v>
      </c>
      <c r="AT655" s="208"/>
      <c r="AU655" s="110"/>
      <c r="AV655" s="230"/>
      <c r="AW655" s="855">
        <f t="shared" si="1005"/>
        <v>0.21354166666666666</v>
      </c>
      <c r="AX655" s="110"/>
      <c r="AY655" s="110"/>
      <c r="AZ655" s="110"/>
      <c r="BA655" s="110"/>
      <c r="BB655" s="110"/>
      <c r="BC655" s="110"/>
      <c r="BD655" s="110"/>
      <c r="BE655" s="110"/>
      <c r="BF655" s="110"/>
      <c r="BG655" s="110"/>
      <c r="BH655" s="110"/>
      <c r="BI655" s="110"/>
      <c r="BJ655" s="110"/>
      <c r="BK655" s="110"/>
      <c r="BL655" s="110"/>
      <c r="BM655" s="110"/>
      <c r="BN655" s="110"/>
      <c r="BO655" s="110"/>
      <c r="BP655" s="110"/>
      <c r="BQ655" s="110"/>
      <c r="BR655" s="110"/>
      <c r="BS655" s="110"/>
      <c r="BT655" s="110"/>
      <c r="BU655" s="110"/>
      <c r="BV655" s="110"/>
      <c r="BW655" s="110">
        <v>50.7</v>
      </c>
      <c r="BX655" s="110">
        <v>2230</v>
      </c>
      <c r="BY655" s="1054">
        <f t="shared" si="988"/>
        <v>0</v>
      </c>
      <c r="BZ655" s="1054"/>
      <c r="CA655" s="110">
        <v>1265</v>
      </c>
      <c r="CB655" s="1099">
        <f t="shared" si="990"/>
        <v>77028.125</v>
      </c>
      <c r="CC655" s="208">
        <f t="shared" si="991"/>
        <v>61.328125</v>
      </c>
      <c r="CD655" s="208">
        <f t="shared" si="992"/>
        <v>2.5553385416666665</v>
      </c>
      <c r="CE655" s="230"/>
      <c r="CF655" s="110"/>
      <c r="CG655" s="208"/>
      <c r="CH655" s="855">
        <f t="shared" si="1009"/>
        <v>8.220928284182305E-2</v>
      </c>
      <c r="CI655" s="110"/>
      <c r="CJ655" s="110"/>
      <c r="CK655" s="110"/>
      <c r="CL655" s="110"/>
      <c r="CM655" s="110"/>
      <c r="CN655" s="110"/>
    </row>
    <row r="656" spans="1:92">
      <c r="A656" s="1034">
        <f t="shared" si="936"/>
        <v>41811</v>
      </c>
      <c r="B656" s="1035">
        <f t="shared" si="953"/>
        <v>0.33333333333333398</v>
      </c>
      <c r="C656" s="854">
        <f t="shared" si="977"/>
        <v>24</v>
      </c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  <c r="AA656" s="110"/>
      <c r="AB656" s="110"/>
      <c r="AC656" s="110"/>
      <c r="AD656" s="110"/>
      <c r="AE656" s="110"/>
      <c r="AF656" s="110"/>
      <c r="AG656" s="110"/>
      <c r="AH656" s="110"/>
      <c r="AI656" s="110"/>
      <c r="AJ656" s="110"/>
      <c r="AK656" s="110"/>
      <c r="AL656" s="110">
        <v>35.700000000000003</v>
      </c>
      <c r="AM656" s="110">
        <v>3549</v>
      </c>
      <c r="AN656" s="208">
        <f t="shared" si="981"/>
        <v>0</v>
      </c>
      <c r="AO656" s="208"/>
      <c r="AP656" s="110">
        <v>2495</v>
      </c>
      <c r="AQ656" s="1099">
        <f t="shared" si="985"/>
        <v>149901.63750000001</v>
      </c>
      <c r="AR656" s="76">
        <f t="shared" si="986"/>
        <v>362.08124999998836</v>
      </c>
      <c r="AS656" s="230">
        <f t="shared" si="987"/>
        <v>15.086718749999514</v>
      </c>
      <c r="AT656" s="208"/>
      <c r="AU656" s="110"/>
      <c r="AV656" s="230"/>
      <c r="AW656" s="855">
        <f t="shared" si="1005"/>
        <v>0.25624999999999176</v>
      </c>
      <c r="AX656" s="110"/>
      <c r="AY656" s="110"/>
      <c r="AZ656" s="110"/>
      <c r="BA656" s="110"/>
      <c r="BB656" s="110"/>
      <c r="BC656" s="110"/>
      <c r="BD656" s="110"/>
      <c r="BE656" s="110"/>
      <c r="BF656" s="110"/>
      <c r="BG656" s="110"/>
      <c r="BH656" s="110"/>
      <c r="BI656" s="110"/>
      <c r="BJ656" s="110"/>
      <c r="BK656" s="110"/>
      <c r="BL656" s="110"/>
      <c r="BM656" s="110"/>
      <c r="BN656" s="110"/>
      <c r="BO656" s="110"/>
      <c r="BP656" s="110"/>
      <c r="BQ656" s="110"/>
      <c r="BR656" s="110"/>
      <c r="BS656" s="110"/>
      <c r="BT656" s="110"/>
      <c r="BU656" s="110"/>
      <c r="BV656" s="110"/>
      <c r="BW656" s="110">
        <v>50.7</v>
      </c>
      <c r="BX656" s="110">
        <v>2230</v>
      </c>
      <c r="BY656" s="1054">
        <f t="shared" si="988"/>
        <v>0</v>
      </c>
      <c r="BZ656" s="1054"/>
      <c r="CA656" s="110">
        <v>1265</v>
      </c>
      <c r="CB656" s="1099">
        <f t="shared" si="990"/>
        <v>77028.125</v>
      </c>
      <c r="CC656" s="208">
        <f t="shared" si="991"/>
        <v>0</v>
      </c>
      <c r="CD656" s="208">
        <f t="shared" si="992"/>
        <v>0</v>
      </c>
      <c r="CE656" s="230"/>
      <c r="CF656" s="110"/>
      <c r="CG656" s="208"/>
      <c r="CH656" s="855">
        <f t="shared" si="1009"/>
        <v>0</v>
      </c>
      <c r="CI656" s="110"/>
      <c r="CJ656" s="110"/>
      <c r="CK656" s="110"/>
      <c r="CL656" s="110"/>
      <c r="CM656" s="110"/>
      <c r="CN656" s="110"/>
    </row>
    <row r="657" spans="1:92">
      <c r="A657" s="1034">
        <f t="shared" si="936"/>
        <v>41812</v>
      </c>
      <c r="B657" s="1035">
        <f t="shared" si="953"/>
        <v>0.33333333333333398</v>
      </c>
      <c r="C657" s="854">
        <f t="shared" si="977"/>
        <v>24</v>
      </c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  <c r="AA657" s="110"/>
      <c r="AB657" s="110"/>
      <c r="AC657" s="110"/>
      <c r="AD657" s="110"/>
      <c r="AE657" s="110"/>
      <c r="AF657" s="110"/>
      <c r="AG657" s="110"/>
      <c r="AH657" s="110"/>
      <c r="AI657" s="110"/>
      <c r="AJ657" s="110"/>
      <c r="AK657" s="110"/>
      <c r="AL657" s="110">
        <v>35.700000000000003</v>
      </c>
      <c r="AM657" s="110">
        <v>3549</v>
      </c>
      <c r="AN657" s="208">
        <f t="shared" si="981"/>
        <v>0</v>
      </c>
      <c r="AO657" s="208"/>
      <c r="AP657" s="110">
        <v>2500</v>
      </c>
      <c r="AQ657" s="1099">
        <f t="shared" si="985"/>
        <v>150203.37187500001</v>
      </c>
      <c r="AR657" s="76">
        <f t="shared" si="986"/>
        <v>301.734375</v>
      </c>
      <c r="AS657" s="230">
        <f t="shared" si="987"/>
        <v>12.572265625</v>
      </c>
      <c r="AT657" s="208"/>
      <c r="AU657" s="110"/>
      <c r="AV657" s="230"/>
      <c r="AW657" s="855">
        <f t="shared" si="1005"/>
        <v>0.21354166666666666</v>
      </c>
      <c r="AX657" s="110"/>
      <c r="AY657" s="110"/>
      <c r="AZ657" s="110"/>
      <c r="BA657" s="110"/>
      <c r="BB657" s="110"/>
      <c r="BC657" s="110"/>
      <c r="BD657" s="110"/>
      <c r="BE657" s="110"/>
      <c r="BF657" s="110"/>
      <c r="BG657" s="110"/>
      <c r="BH657" s="110"/>
      <c r="BI657" s="110"/>
      <c r="BJ657" s="110"/>
      <c r="BK657" s="110"/>
      <c r="BL657" s="110"/>
      <c r="BM657" s="110"/>
      <c r="BN657" s="110"/>
      <c r="BO657" s="110"/>
      <c r="BP657" s="110"/>
      <c r="BQ657" s="110"/>
      <c r="BR657" s="110"/>
      <c r="BS657" s="110"/>
      <c r="BT657" s="110"/>
      <c r="BU657" s="110"/>
      <c r="BV657" s="110"/>
      <c r="BW657" s="110">
        <v>50.7</v>
      </c>
      <c r="BX657" s="110">
        <v>2230</v>
      </c>
      <c r="BY657" s="1054">
        <f t="shared" si="988"/>
        <v>0</v>
      </c>
      <c r="BZ657" s="1054"/>
      <c r="CA657" s="110">
        <v>1265</v>
      </c>
      <c r="CB657" s="1099">
        <f t="shared" si="990"/>
        <v>77028.125</v>
      </c>
      <c r="CC657" s="208">
        <f t="shared" si="991"/>
        <v>0</v>
      </c>
      <c r="CD657" s="208">
        <f t="shared" si="992"/>
        <v>0</v>
      </c>
      <c r="CE657" s="230"/>
      <c r="CF657" s="110"/>
      <c r="CG657" s="208"/>
      <c r="CH657" s="855">
        <f t="shared" si="1009"/>
        <v>0</v>
      </c>
      <c r="CI657" s="110"/>
      <c r="CJ657" s="110"/>
      <c r="CK657" s="110"/>
      <c r="CL657" s="110"/>
      <c r="CM657" s="110"/>
      <c r="CN657" s="110"/>
    </row>
    <row r="658" spans="1:92">
      <c r="A658" s="1034">
        <f t="shared" si="936"/>
        <v>41813</v>
      </c>
      <c r="B658" s="1035">
        <f t="shared" si="953"/>
        <v>0.33333333333333398</v>
      </c>
      <c r="C658" s="854">
        <f t="shared" si="977"/>
        <v>24</v>
      </c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  <c r="AA658" s="110"/>
      <c r="AB658" s="110"/>
      <c r="AC658" s="110"/>
      <c r="AD658" s="110"/>
      <c r="AE658" s="110"/>
      <c r="AF658" s="110"/>
      <c r="AG658" s="110"/>
      <c r="AH658" s="110"/>
      <c r="AI658" s="110"/>
      <c r="AJ658" s="110"/>
      <c r="AK658" s="110"/>
      <c r="AL658" s="110">
        <v>35.700000000000003</v>
      </c>
      <c r="AM658" s="110">
        <v>3549</v>
      </c>
      <c r="AN658" s="208">
        <f t="shared" si="981"/>
        <v>0</v>
      </c>
      <c r="AO658" s="208"/>
      <c r="AP658" s="110">
        <v>2505</v>
      </c>
      <c r="AQ658" s="1099">
        <f t="shared" si="985"/>
        <v>150505.10625000001</v>
      </c>
      <c r="AR658" s="76">
        <f t="shared" si="986"/>
        <v>301.734375</v>
      </c>
      <c r="AS658" s="230">
        <f t="shared" si="987"/>
        <v>12.572265625</v>
      </c>
      <c r="AT658" s="208"/>
      <c r="AU658" s="110"/>
      <c r="AV658" s="230"/>
      <c r="AW658" s="855">
        <f t="shared" si="1005"/>
        <v>0.21354166666666666</v>
      </c>
      <c r="AX658" s="110"/>
      <c r="AY658" s="110"/>
      <c r="AZ658" s="110"/>
      <c r="BA658" s="110"/>
      <c r="BB658" s="110"/>
      <c r="BC658" s="110"/>
      <c r="BD658" s="110"/>
      <c r="BE658" s="110"/>
      <c r="BF658" s="110"/>
      <c r="BG658" s="110"/>
      <c r="BH658" s="110"/>
      <c r="BI658" s="110"/>
      <c r="BJ658" s="110"/>
      <c r="BK658" s="110"/>
      <c r="BL658" s="110"/>
      <c r="BM658" s="110"/>
      <c r="BN658" s="110"/>
      <c r="BO658" s="110"/>
      <c r="BP658" s="110"/>
      <c r="BQ658" s="110"/>
      <c r="BR658" s="110"/>
      <c r="BS658" s="110"/>
      <c r="BT658" s="110"/>
      <c r="BU658" s="110"/>
      <c r="BV658" s="110"/>
      <c r="BW658" s="110">
        <v>50.5</v>
      </c>
      <c r="BX658" s="110">
        <v>2230</v>
      </c>
      <c r="BY658" s="1054">
        <f t="shared" si="988"/>
        <v>0</v>
      </c>
      <c r="BZ658" s="1054"/>
      <c r="CA658" s="110">
        <v>1265</v>
      </c>
      <c r="CB658" s="1099">
        <f t="shared" si="990"/>
        <v>77028.125</v>
      </c>
      <c r="CC658" s="208">
        <f t="shared" si="991"/>
        <v>0</v>
      </c>
      <c r="CD658" s="208">
        <f t="shared" si="992"/>
        <v>0</v>
      </c>
      <c r="CE658" s="230"/>
      <c r="CF658" s="110"/>
      <c r="CG658" s="208"/>
      <c r="CH658" s="855">
        <f t="shared" si="1009"/>
        <v>0</v>
      </c>
      <c r="CI658" s="110"/>
      <c r="CJ658" s="110"/>
      <c r="CK658" s="110"/>
      <c r="CL658" s="110"/>
      <c r="CM658" s="110"/>
      <c r="CN658" s="110"/>
    </row>
    <row r="659" spans="1:92">
      <c r="A659" s="1034">
        <f t="shared" si="936"/>
        <v>41814</v>
      </c>
      <c r="B659" s="1035">
        <f t="shared" si="953"/>
        <v>0.33333333333333398</v>
      </c>
      <c r="C659" s="854">
        <f t="shared" si="977"/>
        <v>24</v>
      </c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  <c r="AA659" s="110"/>
      <c r="AB659" s="110"/>
      <c r="AC659" s="110"/>
      <c r="AD659" s="110"/>
      <c r="AE659" s="110"/>
      <c r="AF659" s="110"/>
      <c r="AG659" s="110"/>
      <c r="AH659" s="110"/>
      <c r="AI659" s="110"/>
      <c r="AJ659" s="110"/>
      <c r="AK659" s="110"/>
      <c r="AL659" s="110">
        <v>35.700000000000003</v>
      </c>
      <c r="AM659" s="110">
        <v>3549</v>
      </c>
      <c r="AN659" s="208">
        <f t="shared" si="981"/>
        <v>0</v>
      </c>
      <c r="AO659" s="208"/>
      <c r="AP659" s="110">
        <v>2509</v>
      </c>
      <c r="AQ659" s="1099">
        <f t="shared" si="985"/>
        <v>150746.49375000002</v>
      </c>
      <c r="AR659" s="76">
        <f t="shared" si="986"/>
        <v>241.38750000001164</v>
      </c>
      <c r="AS659" s="230">
        <f t="shared" si="987"/>
        <v>10.057812500000486</v>
      </c>
      <c r="AT659" s="208"/>
      <c r="AU659" s="110"/>
      <c r="AV659" s="230"/>
      <c r="AW659" s="855">
        <f t="shared" si="1005"/>
        <v>0.17083333333334158</v>
      </c>
      <c r="AX659" s="110"/>
      <c r="AY659" s="110"/>
      <c r="AZ659" s="110"/>
      <c r="BA659" s="110"/>
      <c r="BB659" s="110"/>
      <c r="BC659" s="110"/>
      <c r="BD659" s="110"/>
      <c r="BE659" s="110"/>
      <c r="BF659" s="110"/>
      <c r="BG659" s="110"/>
      <c r="BH659" s="110"/>
      <c r="BI659" s="110"/>
      <c r="BJ659" s="110"/>
      <c r="BK659" s="110"/>
      <c r="BL659" s="110"/>
      <c r="BM659" s="110"/>
      <c r="BN659" s="110"/>
      <c r="BO659" s="110"/>
      <c r="BP659" s="110"/>
      <c r="BQ659" s="110"/>
      <c r="BR659" s="110"/>
      <c r="BS659" s="110"/>
      <c r="BT659" s="110"/>
      <c r="BU659" s="110"/>
      <c r="BV659" s="110"/>
      <c r="BW659" s="110">
        <v>50.5</v>
      </c>
      <c r="BX659" s="110">
        <v>2230</v>
      </c>
      <c r="BY659" s="1054">
        <f t="shared" si="988"/>
        <v>0</v>
      </c>
      <c r="BZ659" s="1054"/>
      <c r="CA659" s="110">
        <v>1266</v>
      </c>
      <c r="CB659" s="1099">
        <f t="shared" si="990"/>
        <v>77089.453125</v>
      </c>
      <c r="CC659" s="208">
        <f t="shared" si="991"/>
        <v>61.328125</v>
      </c>
      <c r="CD659" s="208">
        <f t="shared" si="992"/>
        <v>2.5553385416666665</v>
      </c>
      <c r="CE659" s="230"/>
      <c r="CF659" s="110"/>
      <c r="CG659" s="208"/>
      <c r="CH659" s="855">
        <f t="shared" si="1009"/>
        <v>8.220928284182305E-2</v>
      </c>
      <c r="CI659" s="110"/>
      <c r="CJ659" s="110"/>
      <c r="CK659" s="110"/>
      <c r="CL659" s="110"/>
      <c r="CM659" s="110"/>
      <c r="CN659" s="110"/>
    </row>
    <row r="660" spans="1:92" s="94" customFormat="1">
      <c r="A660" s="1102">
        <f t="shared" ref="A660:A715" si="1010">A659+1</f>
        <v>41815</v>
      </c>
      <c r="B660" s="1103">
        <f t="shared" si="953"/>
        <v>0.33333333333333398</v>
      </c>
      <c r="C660" s="854">
        <f t="shared" si="977"/>
        <v>24</v>
      </c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>
        <v>20</v>
      </c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  <c r="AB660" s="116"/>
      <c r="AC660" s="116"/>
      <c r="AD660" s="116"/>
      <c r="AE660" s="116"/>
      <c r="AF660" s="116"/>
      <c r="AG660" s="116"/>
      <c r="AH660" s="116"/>
      <c r="AI660" s="116"/>
      <c r="AJ660" s="116"/>
      <c r="AK660" s="116"/>
      <c r="AL660" s="116">
        <v>35.6</v>
      </c>
      <c r="AM660" s="116">
        <v>3549</v>
      </c>
      <c r="AN660" s="208">
        <f t="shared" si="981"/>
        <v>0</v>
      </c>
      <c r="AO660" s="208"/>
      <c r="AP660" s="116">
        <v>2514</v>
      </c>
      <c r="AQ660" s="1106">
        <f t="shared" si="985"/>
        <v>151048.22812500002</v>
      </c>
      <c r="AR660" s="76">
        <f t="shared" si="986"/>
        <v>301.734375</v>
      </c>
      <c r="AS660" s="230">
        <f t="shared" si="987"/>
        <v>12.572265625</v>
      </c>
      <c r="AT660" s="208"/>
      <c r="AU660" s="116"/>
      <c r="AV660" s="230"/>
      <c r="AW660" s="855">
        <f t="shared" si="1005"/>
        <v>0.21354166666666666</v>
      </c>
      <c r="AX660" s="116">
        <v>64.8</v>
      </c>
      <c r="AY660" s="116">
        <v>33.1</v>
      </c>
      <c r="AZ660" s="116">
        <v>0</v>
      </c>
      <c r="BA660" s="116">
        <v>6</v>
      </c>
      <c r="BB660" s="116">
        <v>45</v>
      </c>
      <c r="BC660" s="116"/>
      <c r="BD660" s="116"/>
      <c r="BE660" s="116"/>
      <c r="BF660" s="116"/>
      <c r="BG660" s="116"/>
      <c r="BH660" s="116"/>
      <c r="BI660" s="116"/>
      <c r="BJ660" s="116"/>
      <c r="BK660" s="116"/>
      <c r="BL660" s="116"/>
      <c r="BM660" s="116"/>
      <c r="BN660" s="116"/>
      <c r="BO660" s="116"/>
      <c r="BP660" s="116"/>
      <c r="BQ660" s="116"/>
      <c r="BR660" s="116"/>
      <c r="BS660" s="116"/>
      <c r="BT660" s="116"/>
      <c r="BU660" s="116"/>
      <c r="BV660" s="116"/>
      <c r="BW660" s="116">
        <v>50.6</v>
      </c>
      <c r="BX660" s="116">
        <v>2230</v>
      </c>
      <c r="BY660" s="1054">
        <f t="shared" si="988"/>
        <v>0</v>
      </c>
      <c r="BZ660" s="1054"/>
      <c r="CA660" s="116">
        <v>1266</v>
      </c>
      <c r="CB660" s="1106">
        <f t="shared" si="990"/>
        <v>77089.453125</v>
      </c>
      <c r="CC660" s="208">
        <f t="shared" si="991"/>
        <v>0</v>
      </c>
      <c r="CD660" s="208">
        <f t="shared" si="992"/>
        <v>0</v>
      </c>
      <c r="CE660" s="230"/>
      <c r="CF660" s="116"/>
      <c r="CG660" s="208"/>
      <c r="CH660" s="855">
        <f t="shared" si="1009"/>
        <v>0</v>
      </c>
      <c r="CI660" s="116">
        <v>62.5</v>
      </c>
      <c r="CJ660" s="116">
        <v>37.4</v>
      </c>
      <c r="CK660" s="116">
        <v>0</v>
      </c>
      <c r="CL660" s="116">
        <v>7</v>
      </c>
      <c r="CM660" s="116">
        <v>130</v>
      </c>
      <c r="CN660" s="116"/>
    </row>
    <row r="661" spans="1:92">
      <c r="A661" s="1034">
        <f t="shared" si="1010"/>
        <v>41816</v>
      </c>
      <c r="B661" s="1035">
        <f t="shared" si="953"/>
        <v>0.33333333333333398</v>
      </c>
      <c r="C661" s="854">
        <f t="shared" si="977"/>
        <v>24</v>
      </c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  <c r="AA661" s="110"/>
      <c r="AB661" s="110"/>
      <c r="AC661" s="110"/>
      <c r="AD661" s="110"/>
      <c r="AE661" s="110"/>
      <c r="AF661" s="110"/>
      <c r="AG661" s="110"/>
      <c r="AH661" s="110"/>
      <c r="AI661" s="110"/>
      <c r="AJ661" s="110"/>
      <c r="AK661" s="110"/>
      <c r="AL661" s="110">
        <v>35.299999999999997</v>
      </c>
      <c r="AM661" s="110">
        <v>3549</v>
      </c>
      <c r="AN661" s="208">
        <f t="shared" ref="AN661:AN664" si="1011">(AM661-AM660)*AQ$1/((C660)/24)</f>
        <v>0</v>
      </c>
      <c r="AO661" s="208"/>
      <c r="AP661" s="110">
        <v>2518</v>
      </c>
      <c r="AQ661" s="486">
        <f t="shared" si="985"/>
        <v>151289.61562500001</v>
      </c>
      <c r="AR661" s="76">
        <f t="shared" ref="AR661:AR664" si="1012">(AQ661-AQ660)/(C661/24)</f>
        <v>241.38749999998254</v>
      </c>
      <c r="AS661" s="230">
        <f t="shared" ref="AS661:AS664" si="1013">(AQ661-AQ660)/C661</f>
        <v>10.057812499999272</v>
      </c>
      <c r="AT661" s="208"/>
      <c r="AU661" s="110"/>
      <c r="AV661" s="230"/>
      <c r="AW661" s="855">
        <f t="shared" ref="AW661:AW714" si="1014">AR661/AQ$3</f>
        <v>0.17083333333332099</v>
      </c>
      <c r="AX661" s="110"/>
      <c r="AY661" s="110"/>
      <c r="AZ661" s="110"/>
      <c r="BA661" s="110"/>
      <c r="BB661" s="110"/>
      <c r="BC661" s="110"/>
      <c r="BD661" s="110"/>
      <c r="BE661" s="110"/>
      <c r="BF661" s="110"/>
      <c r="BG661" s="110"/>
      <c r="BH661" s="110"/>
      <c r="BI661" s="110"/>
      <c r="BJ661" s="110"/>
      <c r="BK661" s="110"/>
      <c r="BL661" s="110"/>
      <c r="BM661" s="110"/>
      <c r="BN661" s="110"/>
      <c r="BO661" s="110"/>
      <c r="BP661" s="110"/>
      <c r="BQ661" s="110"/>
      <c r="BR661" s="110"/>
      <c r="BS661" s="110"/>
      <c r="BT661" s="110"/>
      <c r="BU661" s="110"/>
      <c r="BV661" s="110"/>
      <c r="BW661" s="110">
        <v>50.6</v>
      </c>
      <c r="BX661" s="110">
        <v>2230</v>
      </c>
      <c r="BY661" s="1054">
        <f t="shared" ref="BY661:BY664" si="1015">(BX661-BX660)*CB$1/((C661)/24)</f>
        <v>0</v>
      </c>
      <c r="BZ661" s="1054"/>
      <c r="CA661" s="110">
        <v>1266</v>
      </c>
      <c r="CB661" s="486">
        <f t="shared" si="990"/>
        <v>77089.453125</v>
      </c>
      <c r="CC661" s="208">
        <f t="shared" ref="CC661:CC664" si="1016">(CB661-CB660)/((C661/24))</f>
        <v>0</v>
      </c>
      <c r="CD661" s="208">
        <f t="shared" ref="CD661:CD664" si="1017">(CB661-CB660)/(C661)</f>
        <v>0</v>
      </c>
      <c r="CE661" s="230"/>
      <c r="CF661" s="110"/>
      <c r="CG661" s="208"/>
      <c r="CH661" s="855">
        <f t="shared" ref="CH661:CH714" si="1018">CC661/CB$3</f>
        <v>0</v>
      </c>
      <c r="CI661" s="110"/>
      <c r="CJ661" s="110"/>
      <c r="CK661" s="110"/>
      <c r="CL661" s="110"/>
      <c r="CM661" s="110"/>
      <c r="CN661" s="110"/>
    </row>
    <row r="662" spans="1:92">
      <c r="A662" s="1034">
        <f t="shared" si="1010"/>
        <v>41817</v>
      </c>
      <c r="B662" s="1035">
        <f t="shared" si="953"/>
        <v>0.33333333333333398</v>
      </c>
      <c r="C662" s="854">
        <f t="shared" si="977"/>
        <v>24</v>
      </c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  <c r="AA662" s="110"/>
      <c r="AB662" s="110"/>
      <c r="AC662" s="110"/>
      <c r="AD662" s="110"/>
      <c r="AE662" s="110"/>
      <c r="AF662" s="110"/>
      <c r="AG662" s="110"/>
      <c r="AH662" s="110"/>
      <c r="AI662" s="110"/>
      <c r="AJ662" s="110"/>
      <c r="AK662" s="110"/>
      <c r="AL662" s="110">
        <v>35.6</v>
      </c>
      <c r="AM662" s="110">
        <v>3549</v>
      </c>
      <c r="AN662" s="208">
        <f t="shared" si="1011"/>
        <v>0</v>
      </c>
      <c r="AO662" s="208"/>
      <c r="AP662" s="110">
        <v>2523</v>
      </c>
      <c r="AQ662" s="486">
        <f t="shared" si="985"/>
        <v>151591.35</v>
      </c>
      <c r="AR662" s="76">
        <f t="shared" si="1012"/>
        <v>301.734375</v>
      </c>
      <c r="AS662" s="230">
        <f t="shared" si="1013"/>
        <v>12.572265625</v>
      </c>
      <c r="AT662" s="208"/>
      <c r="AU662" s="110"/>
      <c r="AV662" s="230"/>
      <c r="AW662" s="855">
        <f t="shared" si="1014"/>
        <v>0.21354166666666666</v>
      </c>
      <c r="AX662" s="110"/>
      <c r="AY662" s="110"/>
      <c r="AZ662" s="110"/>
      <c r="BA662" s="110"/>
      <c r="BB662" s="110"/>
      <c r="BC662" s="110"/>
      <c r="BD662" s="110"/>
      <c r="BE662" s="110"/>
      <c r="BF662" s="110"/>
      <c r="BG662" s="110"/>
      <c r="BH662" s="110"/>
      <c r="BI662" s="110"/>
      <c r="BJ662" s="110"/>
      <c r="BK662" s="110"/>
      <c r="BL662" s="110"/>
      <c r="BM662" s="110"/>
      <c r="BN662" s="110"/>
      <c r="BO662" s="110"/>
      <c r="BP662" s="110"/>
      <c r="BQ662" s="110"/>
      <c r="BR662" s="110"/>
      <c r="BS662" s="110"/>
      <c r="BT662" s="110"/>
      <c r="BU662" s="110"/>
      <c r="BV662" s="110"/>
      <c r="BW662" s="110">
        <v>50.4</v>
      </c>
      <c r="BX662" s="110">
        <v>2230</v>
      </c>
      <c r="BY662" s="1054">
        <f t="shared" si="1015"/>
        <v>0</v>
      </c>
      <c r="BZ662" s="1054"/>
      <c r="CA662" s="110">
        <v>1266</v>
      </c>
      <c r="CB662" s="486">
        <f t="shared" si="990"/>
        <v>77089.453125</v>
      </c>
      <c r="CC662" s="208">
        <f t="shared" si="1016"/>
        <v>0</v>
      </c>
      <c r="CD662" s="208">
        <f t="shared" si="1017"/>
        <v>0</v>
      </c>
      <c r="CE662" s="230"/>
      <c r="CF662" s="110"/>
      <c r="CG662" s="208"/>
      <c r="CH662" s="855">
        <f t="shared" si="1018"/>
        <v>0</v>
      </c>
      <c r="CI662" s="110"/>
      <c r="CJ662" s="110"/>
      <c r="CK662" s="110"/>
      <c r="CL662" s="110"/>
      <c r="CM662" s="110"/>
      <c r="CN662" s="110"/>
    </row>
    <row r="663" spans="1:92">
      <c r="A663" s="1034">
        <f t="shared" si="1010"/>
        <v>41818</v>
      </c>
      <c r="B663" s="1035">
        <f t="shared" ref="B663:B715" si="1019">B662</f>
        <v>0.33333333333333398</v>
      </c>
      <c r="C663" s="854">
        <f t="shared" si="977"/>
        <v>24</v>
      </c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  <c r="AA663" s="110"/>
      <c r="AB663" s="110"/>
      <c r="AC663" s="110"/>
      <c r="AD663" s="110"/>
      <c r="AE663" s="110"/>
      <c r="AF663" s="110"/>
      <c r="AG663" s="110"/>
      <c r="AH663" s="110"/>
      <c r="AI663" s="110"/>
      <c r="AJ663" s="110"/>
      <c r="AK663" s="110"/>
      <c r="AL663" s="110">
        <v>35.700000000000003</v>
      </c>
      <c r="AM663" s="110">
        <v>3549</v>
      </c>
      <c r="AN663" s="208">
        <f t="shared" si="1011"/>
        <v>0</v>
      </c>
      <c r="AO663" s="208"/>
      <c r="AP663" s="110">
        <v>2528</v>
      </c>
      <c r="AQ663" s="486">
        <f t="shared" si="985"/>
        <v>151893.08437500001</v>
      </c>
      <c r="AR663" s="76">
        <f t="shared" si="1012"/>
        <v>301.734375</v>
      </c>
      <c r="AS663" s="230">
        <f t="shared" si="1013"/>
        <v>12.572265625</v>
      </c>
      <c r="AT663" s="208"/>
      <c r="AU663" s="110"/>
      <c r="AV663" s="230"/>
      <c r="AW663" s="855">
        <f t="shared" si="1014"/>
        <v>0.21354166666666666</v>
      </c>
      <c r="AX663" s="110"/>
      <c r="AY663" s="110"/>
      <c r="AZ663" s="110"/>
      <c r="BA663" s="110"/>
      <c r="BB663" s="110"/>
      <c r="BC663" s="110"/>
      <c r="BD663" s="110"/>
      <c r="BE663" s="110"/>
      <c r="BF663" s="110"/>
      <c r="BG663" s="110"/>
      <c r="BH663" s="110"/>
      <c r="BI663" s="110"/>
      <c r="BJ663" s="110"/>
      <c r="BK663" s="110"/>
      <c r="BL663" s="110"/>
      <c r="BM663" s="110"/>
      <c r="BN663" s="110"/>
      <c r="BO663" s="110"/>
      <c r="BP663" s="110"/>
      <c r="BQ663" s="110"/>
      <c r="BR663" s="110"/>
      <c r="BS663" s="110"/>
      <c r="BT663" s="110"/>
      <c r="BU663" s="110"/>
      <c r="BV663" s="110"/>
      <c r="BW663" s="110">
        <v>50.5</v>
      </c>
      <c r="BX663" s="110">
        <v>2230</v>
      </c>
      <c r="BY663" s="1054">
        <f t="shared" si="1015"/>
        <v>0</v>
      </c>
      <c r="BZ663" s="1054"/>
      <c r="CA663" s="110">
        <v>1266</v>
      </c>
      <c r="CB663" s="486">
        <f t="shared" si="990"/>
        <v>77089.453125</v>
      </c>
      <c r="CC663" s="208">
        <f t="shared" si="1016"/>
        <v>0</v>
      </c>
      <c r="CD663" s="208">
        <f t="shared" si="1017"/>
        <v>0</v>
      </c>
      <c r="CE663" s="230"/>
      <c r="CF663" s="110"/>
      <c r="CG663" s="208"/>
      <c r="CH663" s="855">
        <f t="shared" si="1018"/>
        <v>0</v>
      </c>
      <c r="CI663" s="110"/>
      <c r="CJ663" s="110"/>
      <c r="CK663" s="110"/>
      <c r="CL663" s="110"/>
      <c r="CM663" s="110"/>
      <c r="CN663" s="110"/>
    </row>
    <row r="664" spans="1:92">
      <c r="A664" s="1034">
        <f t="shared" si="1010"/>
        <v>41819</v>
      </c>
      <c r="B664" s="1035">
        <f t="shared" si="1019"/>
        <v>0.33333333333333398</v>
      </c>
      <c r="C664" s="854">
        <f t="shared" si="977"/>
        <v>24</v>
      </c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  <c r="AA664" s="110"/>
      <c r="AB664" s="110"/>
      <c r="AC664" s="110"/>
      <c r="AD664" s="110"/>
      <c r="AE664" s="110"/>
      <c r="AF664" s="110"/>
      <c r="AG664" s="110"/>
      <c r="AH664" s="110"/>
      <c r="AI664" s="110"/>
      <c r="AJ664" s="110"/>
      <c r="AK664" s="110"/>
      <c r="AL664" s="110">
        <v>35.6</v>
      </c>
      <c r="AM664" s="110">
        <v>3549</v>
      </c>
      <c r="AN664" s="208">
        <f t="shared" si="1011"/>
        <v>0</v>
      </c>
      <c r="AO664" s="208"/>
      <c r="AP664" s="110">
        <v>2532</v>
      </c>
      <c r="AQ664" s="486">
        <f t="shared" si="985"/>
        <v>152134.47187500002</v>
      </c>
      <c r="AR664" s="76">
        <f t="shared" si="1012"/>
        <v>241.38750000001164</v>
      </c>
      <c r="AS664" s="230">
        <f t="shared" si="1013"/>
        <v>10.057812500000486</v>
      </c>
      <c r="AT664" s="208"/>
      <c r="AU664" s="110"/>
      <c r="AV664" s="230"/>
      <c r="AW664" s="855">
        <f t="shared" si="1014"/>
        <v>0.17083333333334158</v>
      </c>
      <c r="AX664" s="110"/>
      <c r="AY664" s="110"/>
      <c r="AZ664" s="110"/>
      <c r="BA664" s="110"/>
      <c r="BB664" s="110"/>
      <c r="BC664" s="110"/>
      <c r="BD664" s="110"/>
      <c r="BE664" s="110"/>
      <c r="BF664" s="110"/>
      <c r="BG664" s="110"/>
      <c r="BH664" s="110"/>
      <c r="BI664" s="110"/>
      <c r="BJ664" s="110"/>
      <c r="BK664" s="110"/>
      <c r="BL664" s="110"/>
      <c r="BM664" s="110"/>
      <c r="BN664" s="110"/>
      <c r="BO664" s="110"/>
      <c r="BP664" s="110"/>
      <c r="BQ664" s="110"/>
      <c r="BR664" s="110"/>
      <c r="BS664" s="110"/>
      <c r="BT664" s="110"/>
      <c r="BU664" s="110"/>
      <c r="BV664" s="110"/>
      <c r="BW664" s="110">
        <v>50.6</v>
      </c>
      <c r="BX664" s="110">
        <v>2230</v>
      </c>
      <c r="BY664" s="1054">
        <f t="shared" si="1015"/>
        <v>0</v>
      </c>
      <c r="BZ664" s="1054"/>
      <c r="CA664" s="110">
        <v>1266</v>
      </c>
      <c r="CB664" s="486">
        <f t="shared" si="990"/>
        <v>77089.453125</v>
      </c>
      <c r="CC664" s="208">
        <f t="shared" si="1016"/>
        <v>0</v>
      </c>
      <c r="CD664" s="208">
        <f t="shared" si="1017"/>
        <v>0</v>
      </c>
      <c r="CE664" s="230"/>
      <c r="CF664" s="110"/>
      <c r="CG664" s="208"/>
      <c r="CH664" s="855">
        <f t="shared" si="1018"/>
        <v>0</v>
      </c>
      <c r="CI664" s="110"/>
      <c r="CJ664" s="110"/>
      <c r="CK664" s="110"/>
      <c r="CL664" s="110"/>
      <c r="CM664" s="110"/>
      <c r="CN664" s="110"/>
    </row>
    <row r="665" spans="1:92">
      <c r="A665" s="1034">
        <f t="shared" si="1010"/>
        <v>41820</v>
      </c>
      <c r="B665" s="1035">
        <f t="shared" si="1019"/>
        <v>0.33333333333333398</v>
      </c>
      <c r="C665" s="854">
        <f t="shared" si="977"/>
        <v>24</v>
      </c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  <c r="AA665" s="110"/>
      <c r="AB665" s="110"/>
      <c r="AC665" s="110"/>
      <c r="AD665" s="110"/>
      <c r="AE665" s="110"/>
      <c r="AF665" s="110"/>
      <c r="AG665" s="110"/>
      <c r="AH665" s="110"/>
      <c r="AI665" s="110"/>
      <c r="AJ665" s="110"/>
      <c r="AK665" s="110"/>
      <c r="AL665" s="110">
        <v>35.799999999999997</v>
      </c>
      <c r="AM665" s="110">
        <v>3549</v>
      </c>
      <c r="AN665" s="208">
        <f t="shared" ref="AN665:AN681" si="1020">(AM665-AM664)*AQ$1/((C664)/24)</f>
        <v>0</v>
      </c>
      <c r="AO665" s="208"/>
      <c r="AP665" s="110">
        <v>2537</v>
      </c>
      <c r="AQ665" s="486">
        <f t="shared" si="985"/>
        <v>152436.20625000002</v>
      </c>
      <c r="AR665" s="76">
        <f t="shared" ref="AR665:AR681" si="1021">(AQ665-AQ664)/(C665/24)</f>
        <v>301.734375</v>
      </c>
      <c r="AS665" s="230">
        <f t="shared" ref="AS665:AS681" si="1022">(AQ665-AQ664)/C665</f>
        <v>12.572265625</v>
      </c>
      <c r="AT665" s="208"/>
      <c r="AU665" s="110"/>
      <c r="AV665" s="230"/>
      <c r="AW665" s="855">
        <f t="shared" si="1014"/>
        <v>0.21354166666666666</v>
      </c>
      <c r="AX665" s="110"/>
      <c r="AY665" s="110"/>
      <c r="AZ665" s="110"/>
      <c r="BA665" s="110"/>
      <c r="BB665" s="110"/>
      <c r="BC665" s="110"/>
      <c r="BD665" s="110"/>
      <c r="BE665" s="110"/>
      <c r="BF665" s="110"/>
      <c r="BG665" s="110"/>
      <c r="BH665" s="110"/>
      <c r="BI665" s="110"/>
      <c r="BJ665" s="110"/>
      <c r="BK665" s="110"/>
      <c r="BL665" s="110"/>
      <c r="BM665" s="110"/>
      <c r="BN665" s="110"/>
      <c r="BO665" s="110"/>
      <c r="BP665" s="110"/>
      <c r="BQ665" s="110"/>
      <c r="BR665" s="110"/>
      <c r="BS665" s="110"/>
      <c r="BT665" s="110"/>
      <c r="BU665" s="110"/>
      <c r="BV665" s="110"/>
      <c r="BW665" s="110">
        <v>50.6</v>
      </c>
      <c r="BX665" s="110">
        <v>2230</v>
      </c>
      <c r="BY665" s="1054">
        <f t="shared" ref="BY665:BY679" si="1023">(BX665-BX664)*CB$1/((C665)/24)</f>
        <v>0</v>
      </c>
      <c r="BZ665" s="1054"/>
      <c r="CA665" s="110">
        <v>1266</v>
      </c>
      <c r="CB665" s="486">
        <f t="shared" si="990"/>
        <v>77089.453125</v>
      </c>
      <c r="CC665" s="208">
        <f t="shared" ref="CC665:CC680" si="1024">(CB665-CB664)/((C665/24))</f>
        <v>0</v>
      </c>
      <c r="CD665" s="208">
        <f t="shared" ref="CD665:CD680" si="1025">(CB665-CB664)/(C665)</f>
        <v>0</v>
      </c>
      <c r="CE665" s="230"/>
      <c r="CF665" s="110"/>
      <c r="CG665" s="208"/>
      <c r="CH665" s="855">
        <f t="shared" si="1018"/>
        <v>0</v>
      </c>
      <c r="CI665" s="110"/>
      <c r="CJ665" s="110"/>
      <c r="CK665" s="110"/>
      <c r="CL665" s="110"/>
      <c r="CM665" s="110"/>
      <c r="CN665" s="110"/>
    </row>
    <row r="666" spans="1:92">
      <c r="A666" s="1034">
        <f t="shared" si="1010"/>
        <v>41821</v>
      </c>
      <c r="B666" s="1035">
        <f t="shared" si="1019"/>
        <v>0.33333333333333398</v>
      </c>
      <c r="C666" s="854">
        <f t="shared" si="977"/>
        <v>24</v>
      </c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  <c r="AA666" s="110"/>
      <c r="AB666" s="110"/>
      <c r="AC666" s="110"/>
      <c r="AD666" s="110"/>
      <c r="AE666" s="110"/>
      <c r="AF666" s="110"/>
      <c r="AG666" s="110"/>
      <c r="AH666" s="110"/>
      <c r="AI666" s="110"/>
      <c r="AJ666" s="110"/>
      <c r="AK666" s="110"/>
      <c r="AL666" s="110">
        <v>35.6</v>
      </c>
      <c r="AM666" s="110">
        <v>3549</v>
      </c>
      <c r="AN666" s="208">
        <f t="shared" si="1020"/>
        <v>0</v>
      </c>
      <c r="AO666" s="208"/>
      <c r="AP666" s="110">
        <v>2541</v>
      </c>
      <c r="AQ666" s="486">
        <f t="shared" si="985"/>
        <v>152677.59375</v>
      </c>
      <c r="AR666" s="76">
        <f t="shared" si="1021"/>
        <v>241.38749999998254</v>
      </c>
      <c r="AS666" s="230">
        <f t="shared" si="1022"/>
        <v>10.057812499999272</v>
      </c>
      <c r="AT666" s="208"/>
      <c r="AU666" s="110"/>
      <c r="AV666" s="230"/>
      <c r="AW666" s="855">
        <f t="shared" si="1014"/>
        <v>0.17083333333332099</v>
      </c>
      <c r="AX666" s="110"/>
      <c r="AY666" s="110"/>
      <c r="AZ666" s="110"/>
      <c r="BA666" s="110"/>
      <c r="BB666" s="110"/>
      <c r="BC666" s="110"/>
      <c r="BD666" s="110"/>
      <c r="BE666" s="110"/>
      <c r="BF666" s="110"/>
      <c r="BG666" s="110"/>
      <c r="BH666" s="110"/>
      <c r="BI666" s="110"/>
      <c r="BJ666" s="110"/>
      <c r="BK666" s="110"/>
      <c r="BL666" s="110"/>
      <c r="BM666" s="110"/>
      <c r="BN666" s="110"/>
      <c r="BO666" s="110"/>
      <c r="BP666" s="110"/>
      <c r="BQ666" s="110"/>
      <c r="BR666" s="110"/>
      <c r="BS666" s="110"/>
      <c r="BT666" s="110"/>
      <c r="BU666" s="110"/>
      <c r="BV666" s="110"/>
      <c r="BW666" s="110">
        <v>50.5</v>
      </c>
      <c r="BX666" s="110">
        <v>2230</v>
      </c>
      <c r="BY666" s="1054">
        <f t="shared" si="1023"/>
        <v>0</v>
      </c>
      <c r="BZ666" s="1054"/>
      <c r="CA666" s="110">
        <v>1266</v>
      </c>
      <c r="CB666" s="486">
        <f t="shared" si="990"/>
        <v>77089.453125</v>
      </c>
      <c r="CC666" s="208">
        <f t="shared" si="1024"/>
        <v>0</v>
      </c>
      <c r="CD666" s="208">
        <f t="shared" si="1025"/>
        <v>0</v>
      </c>
      <c r="CE666" s="230"/>
      <c r="CF666" s="110"/>
      <c r="CG666" s="208"/>
      <c r="CH666" s="855">
        <f t="shared" si="1018"/>
        <v>0</v>
      </c>
      <c r="CI666" s="110"/>
      <c r="CJ666" s="110"/>
      <c r="CK666" s="110"/>
      <c r="CL666" s="110"/>
      <c r="CM666" s="110"/>
      <c r="CN666" s="110"/>
    </row>
    <row r="667" spans="1:92" s="94" customFormat="1">
      <c r="A667" s="1102">
        <f t="shared" si="1010"/>
        <v>41822</v>
      </c>
      <c r="B667" s="1103">
        <f t="shared" si="1019"/>
        <v>0.33333333333333398</v>
      </c>
      <c r="C667" s="854">
        <f t="shared" si="977"/>
        <v>24</v>
      </c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>
        <v>40</v>
      </c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  <c r="AB667" s="116"/>
      <c r="AC667" s="116"/>
      <c r="AD667" s="116"/>
      <c r="AE667" s="116"/>
      <c r="AF667" s="116"/>
      <c r="AG667" s="116"/>
      <c r="AH667" s="116"/>
      <c r="AI667" s="116"/>
      <c r="AJ667" s="116"/>
      <c r="AK667" s="116"/>
      <c r="AL667" s="116">
        <v>35.6</v>
      </c>
      <c r="AM667" s="116">
        <v>3549</v>
      </c>
      <c r="AN667" s="208">
        <f t="shared" si="1020"/>
        <v>0</v>
      </c>
      <c r="AO667" s="208"/>
      <c r="AP667" s="116">
        <v>2546</v>
      </c>
      <c r="AQ667" s="1073">
        <f t="shared" si="985"/>
        <v>152979.328125</v>
      </c>
      <c r="AR667" s="76">
        <f t="shared" si="1021"/>
        <v>301.734375</v>
      </c>
      <c r="AS667" s="230">
        <f t="shared" si="1022"/>
        <v>12.572265625</v>
      </c>
      <c r="AT667" s="208"/>
      <c r="AU667" s="116"/>
      <c r="AV667" s="230"/>
      <c r="AW667" s="855">
        <f t="shared" si="1014"/>
        <v>0.21354166666666666</v>
      </c>
      <c r="AX667" s="116">
        <v>64.900000000000006</v>
      </c>
      <c r="AY667" s="116">
        <v>35</v>
      </c>
      <c r="AZ667" s="116">
        <v>0</v>
      </c>
      <c r="BA667" s="116">
        <v>1</v>
      </c>
      <c r="BB667" s="116">
        <v>60</v>
      </c>
      <c r="BC667" s="116"/>
      <c r="BD667" s="116"/>
      <c r="BE667" s="116"/>
      <c r="BF667" s="116"/>
      <c r="BG667" s="116"/>
      <c r="BH667" s="116"/>
      <c r="BI667" s="116"/>
      <c r="BJ667" s="116"/>
      <c r="BK667" s="116"/>
      <c r="BL667" s="116"/>
      <c r="BM667" s="116"/>
      <c r="BN667" s="116"/>
      <c r="BO667" s="116"/>
      <c r="BP667" s="116"/>
      <c r="BQ667" s="116"/>
      <c r="BR667" s="116"/>
      <c r="BS667" s="116"/>
      <c r="BT667" s="116"/>
      <c r="BU667" s="116"/>
      <c r="BV667" s="116"/>
      <c r="BW667" s="116">
        <v>50.6</v>
      </c>
      <c r="BX667" s="116">
        <v>2230</v>
      </c>
      <c r="BY667" s="1054">
        <f t="shared" si="1023"/>
        <v>0</v>
      </c>
      <c r="BZ667" s="1054"/>
      <c r="CA667" s="116">
        <v>1266</v>
      </c>
      <c r="CB667" s="1073">
        <f t="shared" si="990"/>
        <v>77089.453125</v>
      </c>
      <c r="CC667" s="208">
        <f t="shared" si="1024"/>
        <v>0</v>
      </c>
      <c r="CD667" s="208">
        <f t="shared" si="1025"/>
        <v>0</v>
      </c>
      <c r="CE667" s="230"/>
      <c r="CF667" s="116"/>
      <c r="CG667" s="208"/>
      <c r="CH667" s="855">
        <f t="shared" si="1018"/>
        <v>0</v>
      </c>
      <c r="CI667" s="116">
        <v>62.9</v>
      </c>
      <c r="CJ667" s="116">
        <v>36.799999999999997</v>
      </c>
      <c r="CK667" s="116">
        <v>0</v>
      </c>
      <c r="CL667" s="116">
        <v>6</v>
      </c>
      <c r="CM667" s="116">
        <v>105</v>
      </c>
      <c r="CN667" s="116"/>
    </row>
    <row r="668" spans="1:92">
      <c r="A668" s="1034">
        <f t="shared" si="1010"/>
        <v>41823</v>
      </c>
      <c r="B668" s="1035">
        <f t="shared" si="1019"/>
        <v>0.33333333333333398</v>
      </c>
      <c r="C668" s="854">
        <f t="shared" si="977"/>
        <v>24</v>
      </c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  <c r="AA668" s="110"/>
      <c r="AB668" s="110"/>
      <c r="AC668" s="110"/>
      <c r="AD668" s="110"/>
      <c r="AE668" s="110"/>
      <c r="AF668" s="110"/>
      <c r="AG668" s="110"/>
      <c r="AH668" s="110"/>
      <c r="AI668" s="110"/>
      <c r="AJ668" s="110"/>
      <c r="AK668" s="110"/>
      <c r="AL668" s="110">
        <v>35.700000000000003</v>
      </c>
      <c r="AM668" s="110">
        <v>3549</v>
      </c>
      <c r="AN668" s="208">
        <f t="shared" si="1020"/>
        <v>0</v>
      </c>
      <c r="AO668" s="208"/>
      <c r="AP668" s="110">
        <v>2551</v>
      </c>
      <c r="AQ668" s="486">
        <f t="shared" si="985"/>
        <v>153281.0625</v>
      </c>
      <c r="AR668" s="76">
        <f t="shared" si="1021"/>
        <v>301.734375</v>
      </c>
      <c r="AS668" s="230">
        <f t="shared" si="1022"/>
        <v>12.572265625</v>
      </c>
      <c r="AT668" s="208"/>
      <c r="AU668" s="110"/>
      <c r="AV668" s="230"/>
      <c r="AW668" s="855">
        <f t="shared" si="1014"/>
        <v>0.21354166666666666</v>
      </c>
      <c r="AX668" s="110"/>
      <c r="AY668" s="110"/>
      <c r="AZ668" s="110"/>
      <c r="BA668" s="110"/>
      <c r="BB668" s="110"/>
      <c r="BC668" s="110"/>
      <c r="BD668" s="110"/>
      <c r="BE668" s="110"/>
      <c r="BF668" s="110"/>
      <c r="BG668" s="110"/>
      <c r="BH668" s="110"/>
      <c r="BI668" s="110"/>
      <c r="BJ668" s="110"/>
      <c r="BK668" s="110"/>
      <c r="BL668" s="110"/>
      <c r="BM668" s="110"/>
      <c r="BN668" s="110"/>
      <c r="BO668" s="110"/>
      <c r="BP668" s="110"/>
      <c r="BQ668" s="110"/>
      <c r="BR668" s="110"/>
      <c r="BS668" s="110"/>
      <c r="BT668" s="110"/>
      <c r="BU668" s="110"/>
      <c r="BV668" s="110"/>
      <c r="BW668" s="110">
        <v>50.8</v>
      </c>
      <c r="BX668" s="110">
        <v>2230</v>
      </c>
      <c r="BY668" s="1054">
        <f t="shared" si="1023"/>
        <v>0</v>
      </c>
      <c r="BZ668" s="1054"/>
      <c r="CA668" s="110">
        <v>1267</v>
      </c>
      <c r="CB668" s="486">
        <f t="shared" si="990"/>
        <v>77150.78125</v>
      </c>
      <c r="CC668" s="208">
        <f t="shared" si="1024"/>
        <v>61.328125</v>
      </c>
      <c r="CD668" s="208">
        <f t="shared" si="1025"/>
        <v>2.5553385416666665</v>
      </c>
      <c r="CE668" s="230"/>
      <c r="CF668" s="110"/>
      <c r="CG668" s="208"/>
      <c r="CH668" s="855">
        <f t="shared" si="1018"/>
        <v>8.220928284182305E-2</v>
      </c>
      <c r="CI668" s="110"/>
      <c r="CJ668" s="110"/>
      <c r="CK668" s="110"/>
      <c r="CL668" s="110"/>
      <c r="CM668" s="110"/>
      <c r="CN668" s="110"/>
    </row>
    <row r="669" spans="1:92" s="933" customFormat="1">
      <c r="A669" s="1038">
        <f t="shared" si="1010"/>
        <v>41824</v>
      </c>
      <c r="B669" s="1039">
        <f t="shared" si="1019"/>
        <v>0.33333333333333398</v>
      </c>
      <c r="C669" s="896">
        <f t="shared" si="977"/>
        <v>24</v>
      </c>
      <c r="D669" s="932"/>
      <c r="E669" s="932"/>
      <c r="F669" s="932"/>
      <c r="G669" s="932"/>
      <c r="H669" s="932"/>
      <c r="I669" s="932"/>
      <c r="J669" s="932"/>
      <c r="K669" s="932"/>
      <c r="L669" s="932"/>
      <c r="M669" s="932"/>
      <c r="N669" s="932"/>
      <c r="O669" s="932"/>
      <c r="P669" s="932"/>
      <c r="Q669" s="932"/>
      <c r="R669" s="932"/>
      <c r="S669" s="932"/>
      <c r="T669" s="932"/>
      <c r="U669" s="932"/>
      <c r="V669" s="932"/>
      <c r="W669" s="932"/>
      <c r="X669" s="932"/>
      <c r="Y669" s="932"/>
      <c r="Z669" s="932"/>
      <c r="AA669" s="932"/>
      <c r="AB669" s="932"/>
      <c r="AC669" s="932"/>
      <c r="AD669" s="932"/>
      <c r="AE669" s="932"/>
      <c r="AF669" s="932"/>
      <c r="AG669" s="932"/>
      <c r="AH669" s="932"/>
      <c r="AI669" s="932"/>
      <c r="AJ669" s="932"/>
      <c r="AK669" s="932"/>
      <c r="AL669" s="932">
        <v>35.700000000000003</v>
      </c>
      <c r="AM669" s="932">
        <v>3549</v>
      </c>
      <c r="AN669" s="208">
        <f t="shared" si="1020"/>
        <v>0</v>
      </c>
      <c r="AO669" s="208"/>
      <c r="AP669" s="932">
        <v>2555</v>
      </c>
      <c r="AQ669" s="1105">
        <f t="shared" si="985"/>
        <v>153522.45000000001</v>
      </c>
      <c r="AR669" s="76">
        <f t="shared" si="1021"/>
        <v>241.38750000001164</v>
      </c>
      <c r="AS669" s="230">
        <f t="shared" si="1022"/>
        <v>10.057812500000486</v>
      </c>
      <c r="AT669" s="208"/>
      <c r="AU669" s="932"/>
      <c r="AV669" s="230"/>
      <c r="AW669" s="855">
        <f t="shared" si="1014"/>
        <v>0.17083333333334158</v>
      </c>
      <c r="AX669" s="932"/>
      <c r="AY669" s="932"/>
      <c r="AZ669" s="932"/>
      <c r="BA669" s="932"/>
      <c r="BB669" s="932"/>
      <c r="BC669" s="932" t="s">
        <v>184</v>
      </c>
      <c r="BD669" s="932"/>
      <c r="BE669" s="932"/>
      <c r="BF669" s="932"/>
      <c r="BG669" s="932"/>
      <c r="BH669" s="932"/>
      <c r="BI669" s="932"/>
      <c r="BJ669" s="932"/>
      <c r="BK669" s="932"/>
      <c r="BL669" s="932"/>
      <c r="BM669" s="932"/>
      <c r="BN669" s="932"/>
      <c r="BO669" s="932"/>
      <c r="BP669" s="932"/>
      <c r="BQ669" s="932"/>
      <c r="BR669" s="932"/>
      <c r="BS669" s="932"/>
      <c r="BT669" s="932"/>
      <c r="BU669" s="932"/>
      <c r="BV669" s="932"/>
      <c r="BW669" s="932">
        <v>50.6</v>
      </c>
      <c r="BX669" s="932">
        <v>2230</v>
      </c>
      <c r="BY669" s="1054">
        <f t="shared" si="1023"/>
        <v>0</v>
      </c>
      <c r="BZ669" s="1054"/>
      <c r="CA669" s="932">
        <v>1267</v>
      </c>
      <c r="CB669" s="1105">
        <f t="shared" si="990"/>
        <v>77150.78125</v>
      </c>
      <c r="CC669" s="208">
        <f t="shared" si="1024"/>
        <v>0</v>
      </c>
      <c r="CD669" s="208">
        <f t="shared" si="1025"/>
        <v>0</v>
      </c>
      <c r="CE669" s="230"/>
      <c r="CF669" s="932"/>
      <c r="CG669" s="208"/>
      <c r="CH669" s="855">
        <f t="shared" si="1018"/>
        <v>0</v>
      </c>
      <c r="CI669" s="932"/>
      <c r="CJ669" s="932"/>
      <c r="CK669" s="932"/>
      <c r="CL669" s="932"/>
      <c r="CM669" s="932"/>
      <c r="CN669" s="932" t="s">
        <v>184</v>
      </c>
    </row>
    <row r="670" spans="1:92">
      <c r="A670" s="1034">
        <f t="shared" si="1010"/>
        <v>41825</v>
      </c>
      <c r="B670" s="1035">
        <f t="shared" si="1019"/>
        <v>0.33333333333333398</v>
      </c>
      <c r="C670" s="854">
        <f t="shared" ref="C670:C679" si="1026">((A670-A669)+(B670-B669))*24</f>
        <v>24</v>
      </c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  <c r="AA670" s="110"/>
      <c r="AB670" s="110"/>
      <c r="AC670" s="110"/>
      <c r="AD670" s="110"/>
      <c r="AE670" s="110"/>
      <c r="AF670" s="110"/>
      <c r="AG670" s="110"/>
      <c r="AH670" s="110"/>
      <c r="AI670" s="110"/>
      <c r="AJ670" s="110"/>
      <c r="AK670" s="110"/>
      <c r="AL670" s="110">
        <v>35.6</v>
      </c>
      <c r="AM670" s="110">
        <v>3549</v>
      </c>
      <c r="AN670" s="208">
        <f t="shared" si="1020"/>
        <v>0</v>
      </c>
      <c r="AO670" s="208"/>
      <c r="AP670" s="110">
        <v>2560</v>
      </c>
      <c r="AQ670" s="486">
        <f t="shared" si="985"/>
        <v>153824.18437500001</v>
      </c>
      <c r="AR670" s="76">
        <f t="shared" si="1021"/>
        <v>301.734375</v>
      </c>
      <c r="AS670" s="230">
        <f t="shared" si="1022"/>
        <v>12.572265625</v>
      </c>
      <c r="AT670" s="208"/>
      <c r="AU670" s="110"/>
      <c r="AV670" s="230"/>
      <c r="AW670" s="855">
        <f t="shared" si="1014"/>
        <v>0.21354166666666666</v>
      </c>
      <c r="AX670" s="110"/>
      <c r="AY670" s="110"/>
      <c r="AZ670" s="110"/>
      <c r="BA670" s="110"/>
      <c r="BB670" s="110"/>
      <c r="BC670" s="110"/>
      <c r="BD670" s="110"/>
      <c r="BE670" s="110"/>
      <c r="BF670" s="110"/>
      <c r="BG670" s="110"/>
      <c r="BH670" s="110"/>
      <c r="BI670" s="110"/>
      <c r="BJ670" s="110"/>
      <c r="BK670" s="110"/>
      <c r="BL670" s="110"/>
      <c r="BM670" s="110"/>
      <c r="BN670" s="110"/>
      <c r="BO670" s="110"/>
      <c r="BP670" s="110"/>
      <c r="BQ670" s="110"/>
      <c r="BR670" s="110"/>
      <c r="BS670" s="110"/>
      <c r="BT670" s="110"/>
      <c r="BU670" s="110"/>
      <c r="BV670" s="110"/>
      <c r="BW670" s="110">
        <v>50.7</v>
      </c>
      <c r="BX670" s="110">
        <v>2230</v>
      </c>
      <c r="BY670" s="1054">
        <f t="shared" si="1023"/>
        <v>0</v>
      </c>
      <c r="BZ670" s="1054"/>
      <c r="CA670" s="110">
        <v>1267</v>
      </c>
      <c r="CB670" s="486">
        <f t="shared" si="990"/>
        <v>77150.78125</v>
      </c>
      <c r="CC670" s="208">
        <f t="shared" si="1024"/>
        <v>0</v>
      </c>
      <c r="CD670" s="208">
        <f t="shared" si="1025"/>
        <v>0</v>
      </c>
      <c r="CE670" s="230"/>
      <c r="CF670" s="110"/>
      <c r="CG670" s="208"/>
      <c r="CH670" s="855">
        <f t="shared" si="1018"/>
        <v>0</v>
      </c>
      <c r="CI670" s="110"/>
      <c r="CJ670" s="110"/>
      <c r="CK670" s="110"/>
      <c r="CL670" s="110"/>
      <c r="CM670" s="110"/>
      <c r="CN670" s="110"/>
    </row>
    <row r="671" spans="1:92">
      <c r="A671" s="1034">
        <f t="shared" si="1010"/>
        <v>41826</v>
      </c>
      <c r="B671" s="1035">
        <f t="shared" si="1019"/>
        <v>0.33333333333333398</v>
      </c>
      <c r="C671" s="854">
        <f t="shared" si="1026"/>
        <v>24</v>
      </c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  <c r="AA671" s="110"/>
      <c r="AB671" s="110"/>
      <c r="AC671" s="110"/>
      <c r="AD671" s="110"/>
      <c r="AE671" s="110"/>
      <c r="AF671" s="110"/>
      <c r="AG671" s="110"/>
      <c r="AH671" s="110"/>
      <c r="AI671" s="110"/>
      <c r="AJ671" s="110"/>
      <c r="AK671" s="110"/>
      <c r="AL671" s="110">
        <v>35.799999999999997</v>
      </c>
      <c r="AM671" s="110">
        <v>3549</v>
      </c>
      <c r="AN671" s="208">
        <f t="shared" si="1020"/>
        <v>0</v>
      </c>
      <c r="AO671" s="208"/>
      <c r="AP671" s="110">
        <v>2565</v>
      </c>
      <c r="AQ671" s="486">
        <f t="shared" si="985"/>
        <v>154125.91875000001</v>
      </c>
      <c r="AR671" s="76">
        <f t="shared" si="1021"/>
        <v>301.734375</v>
      </c>
      <c r="AS671" s="230">
        <f t="shared" si="1022"/>
        <v>12.572265625</v>
      </c>
      <c r="AT671" s="208"/>
      <c r="AU671" s="110"/>
      <c r="AV671" s="230"/>
      <c r="AW671" s="855">
        <f t="shared" si="1014"/>
        <v>0.21354166666666666</v>
      </c>
      <c r="AX671" s="110"/>
      <c r="AY671" s="110"/>
      <c r="AZ671" s="110"/>
      <c r="BA671" s="110"/>
      <c r="BB671" s="110"/>
      <c r="BC671" s="110"/>
      <c r="BD671" s="110"/>
      <c r="BE671" s="110"/>
      <c r="BF671" s="110"/>
      <c r="BG671" s="110"/>
      <c r="BH671" s="110"/>
      <c r="BI671" s="110"/>
      <c r="BJ671" s="110"/>
      <c r="BK671" s="110"/>
      <c r="BL671" s="110"/>
      <c r="BM671" s="110"/>
      <c r="BN671" s="110"/>
      <c r="BO671" s="110"/>
      <c r="BP671" s="110"/>
      <c r="BQ671" s="110"/>
      <c r="BR671" s="110"/>
      <c r="BS671" s="110"/>
      <c r="BT671" s="110"/>
      <c r="BU671" s="110"/>
      <c r="BV671" s="110"/>
      <c r="BW671" s="110">
        <v>50.7</v>
      </c>
      <c r="BX671" s="110">
        <v>2230</v>
      </c>
      <c r="BY671" s="1054">
        <f t="shared" si="1023"/>
        <v>0</v>
      </c>
      <c r="BZ671" s="1054"/>
      <c r="CA671" s="110">
        <v>1267</v>
      </c>
      <c r="CB671" s="486">
        <f t="shared" si="990"/>
        <v>77150.78125</v>
      </c>
      <c r="CC671" s="208">
        <f t="shared" si="1024"/>
        <v>0</v>
      </c>
      <c r="CD671" s="208">
        <f t="shared" si="1025"/>
        <v>0</v>
      </c>
      <c r="CE671" s="230"/>
      <c r="CF671" s="110"/>
      <c r="CG671" s="208"/>
      <c r="CH671" s="855">
        <f t="shared" si="1018"/>
        <v>0</v>
      </c>
      <c r="CI671" s="110"/>
      <c r="CJ671" s="110"/>
      <c r="CK671" s="110"/>
      <c r="CL671" s="110"/>
      <c r="CM671" s="110"/>
      <c r="CN671" s="110"/>
    </row>
    <row r="672" spans="1:92">
      <c r="A672" s="1034">
        <f t="shared" si="1010"/>
        <v>41827</v>
      </c>
      <c r="B672" s="1035">
        <f t="shared" si="1019"/>
        <v>0.33333333333333398</v>
      </c>
      <c r="C672" s="854">
        <f t="shared" si="1026"/>
        <v>24</v>
      </c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>
        <v>85</v>
      </c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  <c r="AA672" s="110"/>
      <c r="AB672" s="110"/>
      <c r="AC672" s="110"/>
      <c r="AD672" s="110"/>
      <c r="AE672" s="110"/>
      <c r="AF672" s="110"/>
      <c r="AG672" s="110"/>
      <c r="AH672" s="110"/>
      <c r="AI672" s="110"/>
      <c r="AJ672" s="110"/>
      <c r="AK672" s="110"/>
      <c r="AL672" s="110">
        <v>35.799999999999997</v>
      </c>
      <c r="AM672" s="110">
        <v>3549</v>
      </c>
      <c r="AN672" s="208">
        <f t="shared" si="1020"/>
        <v>0</v>
      </c>
      <c r="AO672" s="208"/>
      <c r="AP672" s="110">
        <v>2570</v>
      </c>
      <c r="AQ672" s="486">
        <f t="shared" si="985"/>
        <v>154427.65312500001</v>
      </c>
      <c r="AR672" s="76">
        <f t="shared" si="1021"/>
        <v>301.734375</v>
      </c>
      <c r="AS672" s="230">
        <f t="shared" si="1022"/>
        <v>12.572265625</v>
      </c>
      <c r="AT672" s="208">
        <f t="shared" ref="AT661:AT680" si="1027">AR672/(AVERAGE(AN672,AN673)*(AVERAGE(D$615,D$612,D$578,D$604,D$583,D$591,D$598,D$626,D$633,D$619))*AVERAGE(E$615,E$612,E$578,E$604,E$583,E$591,E$598,E$626,E$633,E$619)*0.0001)</f>
        <v>212.60575052101555</v>
      </c>
      <c r="AU672" s="110"/>
      <c r="AV672" s="230">
        <f t="shared" ref="AV661:AV680" si="1028">AR672/(AVERAGE(AN673,AN672)*AVERAGE(D$615,D$612,D$578,D$604,D$583,D$591,D$598,D$626,D$633,D$619)*0.01)</f>
        <v>163.68091521111941</v>
      </c>
      <c r="AW672" s="855">
        <f t="shared" si="1014"/>
        <v>0.21354166666666666</v>
      </c>
      <c r="AX672" s="110"/>
      <c r="AY672" s="110"/>
      <c r="AZ672" s="110"/>
      <c r="BA672" s="110"/>
      <c r="BB672" s="110"/>
      <c r="BC672" s="110"/>
      <c r="BD672" s="110"/>
      <c r="BE672" s="110"/>
      <c r="BF672" s="110"/>
      <c r="BG672" s="110"/>
      <c r="BH672" s="110"/>
      <c r="BI672" s="110"/>
      <c r="BJ672" s="110"/>
      <c r="BK672" s="110"/>
      <c r="BL672" s="110"/>
      <c r="BM672" s="110"/>
      <c r="BN672" s="110"/>
      <c r="BO672" s="110"/>
      <c r="BP672" s="110"/>
      <c r="BQ672" s="110"/>
      <c r="BR672" s="110"/>
      <c r="BS672" s="110"/>
      <c r="BT672" s="110"/>
      <c r="BU672" s="110"/>
      <c r="BV672" s="110"/>
      <c r="BW672" s="110">
        <v>50.5</v>
      </c>
      <c r="BX672" s="110">
        <v>2230</v>
      </c>
      <c r="BY672" s="1054">
        <f t="shared" si="1023"/>
        <v>0</v>
      </c>
      <c r="BZ672" s="1054"/>
      <c r="CA672" s="110">
        <v>1267</v>
      </c>
      <c r="CB672" s="486">
        <f t="shared" si="990"/>
        <v>77150.78125</v>
      </c>
      <c r="CC672" s="208">
        <f t="shared" si="1024"/>
        <v>0</v>
      </c>
      <c r="CD672" s="208">
        <f t="shared" si="1025"/>
        <v>0</v>
      </c>
      <c r="CE672" s="230">
        <f t="shared" ref="CE665:CE680" si="1029">CC672/(AVERAGE(BY673,BY672)*(AVERAGE(D$615,D$612,D$578,D$604,D$583,D$591,D$598,D$626,D$633,D$619))*AVERAGE(E$615,E$612,E$578,E$604,E$583,E$591,E$598,E$626,E$633,E$619)*0.0001)</f>
        <v>0</v>
      </c>
      <c r="CF672" s="110"/>
      <c r="CG672" s="208">
        <f>CC672/(AVERAGE(BY672,BY673)*AVERAGE((D$615,D$612,D$578,D$604,D$583,D$591,D$598,D$626,D$633,D$619))*0.01)</f>
        <v>0</v>
      </c>
      <c r="CH672" s="855">
        <f t="shared" si="1018"/>
        <v>0</v>
      </c>
      <c r="CI672" s="110"/>
      <c r="CJ672" s="110"/>
      <c r="CK672" s="110"/>
      <c r="CL672" s="110"/>
      <c r="CM672" s="110"/>
      <c r="CN672" s="110"/>
    </row>
    <row r="673" spans="1:92">
      <c r="A673" s="1034">
        <f t="shared" si="1010"/>
        <v>41828</v>
      </c>
      <c r="B673" s="1035">
        <f t="shared" si="1019"/>
        <v>0.33333333333333398</v>
      </c>
      <c r="C673" s="854">
        <f t="shared" si="1026"/>
        <v>24</v>
      </c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>
        <v>67</v>
      </c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  <c r="AA673" s="110"/>
      <c r="AB673" s="110"/>
      <c r="AC673" s="110"/>
      <c r="AD673" s="110"/>
      <c r="AE673" s="110"/>
      <c r="AF673" s="110"/>
      <c r="AG673" s="110"/>
      <c r="AH673" s="110"/>
      <c r="AI673" s="110"/>
      <c r="AJ673" s="110"/>
      <c r="AK673" s="110"/>
      <c r="AL673" s="110">
        <v>35.6</v>
      </c>
      <c r="AM673" s="110">
        <v>3605</v>
      </c>
      <c r="AN673" s="208">
        <f t="shared" si="1020"/>
        <v>120.96000000000001</v>
      </c>
      <c r="AO673" s="208">
        <f t="shared" ref="AO665:AO681" si="1030">AQ$3/AN673</f>
        <v>11.681547619047619</v>
      </c>
      <c r="AP673" s="110">
        <v>2577</v>
      </c>
      <c r="AQ673" s="486">
        <f t="shared" si="985"/>
        <v>154850.08125000002</v>
      </c>
      <c r="AR673" s="76">
        <f t="shared" si="1021"/>
        <v>422.42812500000582</v>
      </c>
      <c r="AS673" s="230">
        <f t="shared" si="1022"/>
        <v>17.601171875000244</v>
      </c>
      <c r="AT673" s="208">
        <f t="shared" si="1027"/>
        <v>297.64805072942585</v>
      </c>
      <c r="AU673" s="110"/>
      <c r="AV673" s="230">
        <f t="shared" si="1028"/>
        <v>229.15328129557034</v>
      </c>
      <c r="AW673" s="855">
        <f t="shared" si="1014"/>
        <v>0.29895833333333743</v>
      </c>
      <c r="AX673" s="110"/>
      <c r="AY673" s="110"/>
      <c r="AZ673" s="110"/>
      <c r="BA673" s="110"/>
      <c r="BB673" s="110"/>
      <c r="BC673" s="110"/>
      <c r="BD673" s="110"/>
      <c r="BE673" s="110"/>
      <c r="BF673" s="110"/>
      <c r="BG673" s="110"/>
      <c r="BH673" s="110"/>
      <c r="BI673" s="110"/>
      <c r="BJ673" s="110"/>
      <c r="BK673" s="110"/>
      <c r="BL673" s="110"/>
      <c r="BM673" s="110"/>
      <c r="BN673" s="110"/>
      <c r="BO673" s="110"/>
      <c r="BP673" s="110"/>
      <c r="BQ673" s="110"/>
      <c r="BR673" s="110"/>
      <c r="BS673" s="110"/>
      <c r="BT673" s="110"/>
      <c r="BU673" s="110"/>
      <c r="BV673" s="110"/>
      <c r="BW673" s="110">
        <v>50.6</v>
      </c>
      <c r="BX673" s="110">
        <v>2262</v>
      </c>
      <c r="BY673" s="1054">
        <f t="shared" si="1023"/>
        <v>64</v>
      </c>
      <c r="BZ673" s="1054">
        <f t="shared" ref="BZ665:BZ679" si="1031">CB$3/BY673</f>
        <v>11.65625</v>
      </c>
      <c r="CA673" s="110">
        <v>1268</v>
      </c>
      <c r="CB673" s="486">
        <f t="shared" si="990"/>
        <v>77212.109375</v>
      </c>
      <c r="CC673" s="208">
        <f t="shared" si="1024"/>
        <v>61.328125</v>
      </c>
      <c r="CD673" s="208">
        <f t="shared" si="1025"/>
        <v>2.5553385416666665</v>
      </c>
      <c r="CE673" s="230">
        <f t="shared" si="1029"/>
        <v>54.447814157821043</v>
      </c>
      <c r="CF673" s="110"/>
      <c r="CG673" s="208">
        <f>CC673/(AVERAGE(BY673,BY674)*AVERAGE((D$615,D$612,D$578,D$604,D$583,D$591,D$598,D$626,D$633,D$619))*0.01)</f>
        <v>41.918283163823261</v>
      </c>
      <c r="CH673" s="855">
        <f t="shared" si="1018"/>
        <v>8.220928284182305E-2</v>
      </c>
      <c r="CI673" s="110"/>
      <c r="CJ673" s="110"/>
      <c r="CK673" s="110"/>
      <c r="CL673" s="110"/>
      <c r="CM673" s="110"/>
      <c r="CN673" s="110"/>
    </row>
    <row r="674" spans="1:92">
      <c r="A674" s="1034">
        <f t="shared" si="1010"/>
        <v>41829</v>
      </c>
      <c r="B674" s="1035">
        <f t="shared" si="1019"/>
        <v>0.33333333333333398</v>
      </c>
      <c r="C674" s="854">
        <f t="shared" si="1026"/>
        <v>24</v>
      </c>
      <c r="D674" s="110"/>
      <c r="E674" s="110"/>
      <c r="F674" s="110"/>
      <c r="G674" s="110"/>
      <c r="H674" s="110"/>
      <c r="I674" s="110"/>
      <c r="J674" s="110"/>
      <c r="K674" s="110"/>
      <c r="L674" s="110"/>
      <c r="M674" s="110">
        <v>60</v>
      </c>
      <c r="N674" s="110">
        <v>85</v>
      </c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  <c r="AA674" s="110"/>
      <c r="AB674" s="110"/>
      <c r="AC674" s="110"/>
      <c r="AD674" s="110"/>
      <c r="AE674" s="110"/>
      <c r="AF674" s="110"/>
      <c r="AG674" s="110"/>
      <c r="AH674" s="110"/>
      <c r="AI674" s="110"/>
      <c r="AJ674" s="110"/>
      <c r="AK674" s="110"/>
      <c r="AL674" s="110">
        <v>35.799999999999997</v>
      </c>
      <c r="AM674" s="110">
        <v>3605</v>
      </c>
      <c r="AN674" s="208">
        <f t="shared" si="1020"/>
        <v>0</v>
      </c>
      <c r="AO674" s="208"/>
      <c r="AP674" s="110">
        <v>2586</v>
      </c>
      <c r="AQ674" s="486">
        <f t="shared" si="985"/>
        <v>155393.203125</v>
      </c>
      <c r="AR674" s="76">
        <f t="shared" si="1021"/>
        <v>543.12187499998254</v>
      </c>
      <c r="AS674" s="230">
        <f t="shared" si="1022"/>
        <v>22.630078124999272</v>
      </c>
      <c r="AT674" s="208">
        <f t="shared" si="1027"/>
        <v>428.61319305035357</v>
      </c>
      <c r="AU674" s="110"/>
      <c r="AV674" s="230">
        <f t="shared" si="1028"/>
        <v>329.98072506560612</v>
      </c>
      <c r="AW674" s="855">
        <f t="shared" si="1014"/>
        <v>0.38437499999998764</v>
      </c>
      <c r="AX674" s="110"/>
      <c r="AY674" s="110"/>
      <c r="AZ674" s="110"/>
      <c r="BA674" s="110"/>
      <c r="BB674" s="110"/>
      <c r="BC674" s="110"/>
      <c r="BD674" s="110"/>
      <c r="BE674" s="110"/>
      <c r="BF674" s="110"/>
      <c r="BG674" s="110"/>
      <c r="BH674" s="110"/>
      <c r="BI674" s="110"/>
      <c r="BJ674" s="110"/>
      <c r="BK674" s="110"/>
      <c r="BL674" s="110"/>
      <c r="BM674" s="110"/>
      <c r="BN674" s="110"/>
      <c r="BO674" s="110"/>
      <c r="BP674" s="110"/>
      <c r="BQ674" s="110"/>
      <c r="BR674" s="110"/>
      <c r="BS674" s="110"/>
      <c r="BT674" s="110"/>
      <c r="BU674" s="110"/>
      <c r="BV674" s="110"/>
      <c r="BW674" s="110">
        <v>50.4</v>
      </c>
      <c r="BX674" s="110">
        <v>2278</v>
      </c>
      <c r="BY674" s="1054">
        <f t="shared" si="1023"/>
        <v>32</v>
      </c>
      <c r="BZ674" s="1054">
        <f t="shared" si="1031"/>
        <v>23.3125</v>
      </c>
      <c r="CA674" s="110">
        <v>1269</v>
      </c>
      <c r="CB674" s="486">
        <f t="shared" si="990"/>
        <v>77273.4375</v>
      </c>
      <c r="CC674" s="208">
        <f t="shared" si="1024"/>
        <v>61.328125</v>
      </c>
      <c r="CD674" s="208">
        <f t="shared" si="1025"/>
        <v>2.5553385416666665</v>
      </c>
      <c r="CE674" s="230">
        <f t="shared" si="1029"/>
        <v>81.671721236731571</v>
      </c>
      <c r="CF674" s="110"/>
      <c r="CG674" s="208">
        <f>CC674/(AVERAGE(BY674,BY675)*AVERAGE((D$615,D$612,D$578,D$604,D$583,D$591,D$598,D$626,D$633,D$619))*0.01)</f>
        <v>62.877424745734892</v>
      </c>
      <c r="CH674" s="855">
        <f t="shared" si="1018"/>
        <v>8.220928284182305E-2</v>
      </c>
      <c r="CI674" s="110"/>
      <c r="CJ674" s="110"/>
      <c r="CK674" s="110"/>
      <c r="CL674" s="110"/>
      <c r="CM674" s="110"/>
      <c r="CN674" s="110"/>
    </row>
    <row r="675" spans="1:92">
      <c r="A675" s="1034">
        <f t="shared" si="1010"/>
        <v>41830</v>
      </c>
      <c r="B675" s="1035">
        <f t="shared" si="1019"/>
        <v>0.33333333333333398</v>
      </c>
      <c r="C675" s="854">
        <f t="shared" si="1026"/>
        <v>24</v>
      </c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  <c r="AA675" s="110"/>
      <c r="AB675" s="110"/>
      <c r="AC675" s="110"/>
      <c r="AD675" s="110"/>
      <c r="AE675" s="110"/>
      <c r="AF675" s="110"/>
      <c r="AG675" s="110"/>
      <c r="AH675" s="110"/>
      <c r="AI675" s="110"/>
      <c r="AJ675" s="110"/>
      <c r="AK675" s="110"/>
      <c r="AL675" s="110">
        <v>35.799999999999997</v>
      </c>
      <c r="AM675" s="110">
        <v>3655</v>
      </c>
      <c r="AN675" s="208">
        <f t="shared" si="1020"/>
        <v>108</v>
      </c>
      <c r="AO675" s="208">
        <f t="shared" si="1030"/>
        <v>13.083333333333334</v>
      </c>
      <c r="AP675" s="110">
        <v>2597</v>
      </c>
      <c r="AQ675" s="486">
        <f t="shared" si="985"/>
        <v>156057.01875000002</v>
      </c>
      <c r="AR675" s="76">
        <f t="shared" si="1021"/>
        <v>663.81562500001746</v>
      </c>
      <c r="AS675" s="230">
        <f t="shared" si="1022"/>
        <v>27.658984375000728</v>
      </c>
      <c r="AT675" s="208">
        <f t="shared" si="1027"/>
        <v>315.57865619505787</v>
      </c>
      <c r="AU675" s="110"/>
      <c r="AV675" s="230">
        <f t="shared" si="1028"/>
        <v>242.9576958314511</v>
      </c>
      <c r="AW675" s="855">
        <f t="shared" si="1014"/>
        <v>0.46979166666667904</v>
      </c>
      <c r="AX675" s="110"/>
      <c r="AY675" s="110"/>
      <c r="AZ675" s="110"/>
      <c r="BA675" s="110"/>
      <c r="BB675" s="110"/>
      <c r="BC675" s="110"/>
      <c r="BD675" s="110"/>
      <c r="BE675" s="110"/>
      <c r="BF675" s="110"/>
      <c r="BG675" s="110"/>
      <c r="BH675" s="110"/>
      <c r="BI675" s="110"/>
      <c r="BJ675" s="110"/>
      <c r="BK675" s="110"/>
      <c r="BL675" s="110"/>
      <c r="BM675" s="110"/>
      <c r="BN675" s="110"/>
      <c r="BO675" s="110"/>
      <c r="BP675" s="110"/>
      <c r="BQ675" s="110"/>
      <c r="BR675" s="110"/>
      <c r="BS675" s="110"/>
      <c r="BT675" s="110"/>
      <c r="BU675" s="110"/>
      <c r="BV675" s="110"/>
      <c r="BW675" s="110">
        <v>50.7</v>
      </c>
      <c r="BX675" s="110">
        <v>2294</v>
      </c>
      <c r="BY675" s="1054">
        <f t="shared" si="1023"/>
        <v>32</v>
      </c>
      <c r="BZ675" s="1054">
        <f t="shared" si="1031"/>
        <v>23.3125</v>
      </c>
      <c r="CA675" s="110">
        <v>1271</v>
      </c>
      <c r="CB675" s="486">
        <f t="shared" si="990"/>
        <v>77396.09375</v>
      </c>
      <c r="CC675" s="208">
        <f t="shared" si="1024"/>
        <v>122.65625</v>
      </c>
      <c r="CD675" s="208">
        <f t="shared" si="1025"/>
        <v>5.110677083333333</v>
      </c>
      <c r="CE675" s="230">
        <f t="shared" si="1029"/>
        <v>163.34344247346314</v>
      </c>
      <c r="CF675" s="110"/>
      <c r="CG675" s="208">
        <f>CC675/(AVERAGE(BY675,BY676)*AVERAGE((D$615,D$612,D$578,D$604,D$583,D$591,D$598,D$626,D$633,D$619))*0.01)</f>
        <v>125.75484949146978</v>
      </c>
      <c r="CH675" s="855">
        <f t="shared" si="1018"/>
        <v>0.1644185656836461</v>
      </c>
      <c r="CI675" s="110"/>
      <c r="CJ675" s="110"/>
      <c r="CK675" s="110"/>
      <c r="CL675" s="110"/>
      <c r="CM675" s="110"/>
      <c r="CN675" s="110"/>
    </row>
    <row r="676" spans="1:92">
      <c r="A676" s="1034">
        <f t="shared" si="1010"/>
        <v>41831</v>
      </c>
      <c r="B676" s="1035">
        <f t="shared" si="1019"/>
        <v>0.33333333333333398</v>
      </c>
      <c r="C676" s="854">
        <f t="shared" si="1026"/>
        <v>24</v>
      </c>
      <c r="D676" s="110"/>
      <c r="E676" s="110"/>
      <c r="F676" s="110"/>
      <c r="G676" s="110"/>
      <c r="H676" s="110"/>
      <c r="I676" s="110"/>
      <c r="J676" s="110"/>
      <c r="K676" s="110"/>
      <c r="L676" s="110"/>
      <c r="M676" s="110">
        <v>50</v>
      </c>
      <c r="N676" s="110">
        <v>80</v>
      </c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  <c r="AA676" s="110"/>
      <c r="AB676" s="110"/>
      <c r="AC676" s="110"/>
      <c r="AD676" s="110"/>
      <c r="AE676" s="110"/>
      <c r="AF676" s="110"/>
      <c r="AG676" s="110"/>
      <c r="AH676" s="110"/>
      <c r="AI676" s="110"/>
      <c r="AJ676" s="110"/>
      <c r="AK676" s="110"/>
      <c r="AL676" s="110">
        <v>35.799999999999997</v>
      </c>
      <c r="AM676" s="110">
        <v>3688</v>
      </c>
      <c r="AN676" s="208">
        <f t="shared" si="1020"/>
        <v>71.28</v>
      </c>
      <c r="AO676" s="208">
        <f t="shared" si="1030"/>
        <v>19.823232323232322</v>
      </c>
      <c r="AP676" s="110">
        <v>2608</v>
      </c>
      <c r="AQ676" s="486">
        <f t="shared" si="985"/>
        <v>156720.83437500001</v>
      </c>
      <c r="AR676" s="76">
        <f t="shared" si="1021"/>
        <v>663.81562499998836</v>
      </c>
      <c r="AS676" s="230">
        <f t="shared" si="1022"/>
        <v>27.658984374999516</v>
      </c>
      <c r="AT676" s="208">
        <f t="shared" si="1027"/>
        <v>429.39390924899442</v>
      </c>
      <c r="AU676" s="110"/>
      <c r="AV676" s="230">
        <f t="shared" si="1028"/>
        <v>330.58178285261573</v>
      </c>
      <c r="AW676" s="855">
        <f t="shared" si="1014"/>
        <v>0.46979166666665845</v>
      </c>
      <c r="AX676" s="110"/>
      <c r="AY676" s="110"/>
      <c r="AZ676" s="110"/>
      <c r="BA676" s="110"/>
      <c r="BB676" s="110"/>
      <c r="BC676" s="110"/>
      <c r="BD676" s="110"/>
      <c r="BE676" s="110"/>
      <c r="BF676" s="110"/>
      <c r="BG676" s="110"/>
      <c r="BH676" s="110"/>
      <c r="BI676" s="110"/>
      <c r="BJ676" s="110"/>
      <c r="BK676" s="110"/>
      <c r="BL676" s="110"/>
      <c r="BM676" s="110"/>
      <c r="BN676" s="110"/>
      <c r="BO676" s="110"/>
      <c r="BP676" s="110"/>
      <c r="BQ676" s="110"/>
      <c r="BR676" s="110"/>
      <c r="BS676" s="110"/>
      <c r="BT676" s="110"/>
      <c r="BU676" s="110"/>
      <c r="BV676" s="110"/>
      <c r="BW676" s="110">
        <v>50.7</v>
      </c>
      <c r="BX676" s="110">
        <v>2310</v>
      </c>
      <c r="BY676" s="1054">
        <f t="shared" si="1023"/>
        <v>32</v>
      </c>
      <c r="BZ676" s="1054">
        <f t="shared" si="1031"/>
        <v>23.3125</v>
      </c>
      <c r="CA676" s="110">
        <v>1276</v>
      </c>
      <c r="CB676" s="486">
        <f t="shared" si="990"/>
        <v>77702.734375</v>
      </c>
      <c r="CC676" s="208">
        <f t="shared" si="1024"/>
        <v>306.640625</v>
      </c>
      <c r="CD676" s="208">
        <f t="shared" si="1025"/>
        <v>12.776692708333334</v>
      </c>
      <c r="CE676" s="230">
        <f t="shared" si="1029"/>
        <v>408.35860618365786</v>
      </c>
      <c r="CF676" s="110"/>
      <c r="CG676" s="208">
        <f>CC676/(AVERAGE(BY676,BY677)*AVERAGE((D$615,D$612,D$578,D$604,D$583,D$591,D$598,D$626,D$633,D$619))*0.01)</f>
        <v>314.38712372867445</v>
      </c>
      <c r="CH676" s="855">
        <f t="shared" si="1018"/>
        <v>0.41104641420911531</v>
      </c>
      <c r="CI676" s="110"/>
      <c r="CJ676" s="110"/>
      <c r="CK676" s="110"/>
      <c r="CL676" s="110"/>
      <c r="CM676" s="110"/>
      <c r="CN676" s="110"/>
    </row>
    <row r="677" spans="1:92">
      <c r="A677" s="1034">
        <f t="shared" si="1010"/>
        <v>41832</v>
      </c>
      <c r="B677" s="1035">
        <f t="shared" si="1019"/>
        <v>0.33333333333333398</v>
      </c>
      <c r="C677" s="854">
        <f t="shared" si="1026"/>
        <v>24</v>
      </c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>
        <v>77</v>
      </c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  <c r="AA677" s="110"/>
      <c r="AB677" s="110"/>
      <c r="AC677" s="110"/>
      <c r="AD677" s="110"/>
      <c r="AE677" s="110"/>
      <c r="AF677" s="110"/>
      <c r="AG677" s="110"/>
      <c r="AH677" s="110"/>
      <c r="AI677" s="110"/>
      <c r="AJ677" s="110"/>
      <c r="AK677" s="110"/>
      <c r="AL677" s="110">
        <v>35.5</v>
      </c>
      <c r="AM677" s="110">
        <v>3716</v>
      </c>
      <c r="AN677" s="208">
        <f t="shared" si="1020"/>
        <v>60.480000000000004</v>
      </c>
      <c r="AO677" s="208">
        <f t="shared" si="1030"/>
        <v>23.363095238095237</v>
      </c>
      <c r="AP677" s="110">
        <v>2623</v>
      </c>
      <c r="AQ677" s="486">
        <f t="shared" si="985"/>
        <v>157626.03750000001</v>
      </c>
      <c r="AR677" s="76">
        <f t="shared" si="1021"/>
        <v>905.203125</v>
      </c>
      <c r="AS677" s="230">
        <f t="shared" si="1022"/>
        <v>37.716796875</v>
      </c>
      <c r="AT677" s="208">
        <f t="shared" si="1027"/>
        <v>626.62747521983522</v>
      </c>
      <c r="AU677" s="110"/>
      <c r="AV677" s="230">
        <f t="shared" si="1028"/>
        <v>482.4279606222467</v>
      </c>
      <c r="AW677" s="855">
        <f t="shared" si="1014"/>
        <v>0.640625</v>
      </c>
      <c r="AX677" s="110"/>
      <c r="AY677" s="110"/>
      <c r="AZ677" s="110"/>
      <c r="BA677" s="110"/>
      <c r="BB677" s="110"/>
      <c r="BC677" s="110"/>
      <c r="BD677" s="110"/>
      <c r="BE677" s="110"/>
      <c r="BF677" s="110"/>
      <c r="BG677" s="110"/>
      <c r="BH677" s="110"/>
      <c r="BI677" s="110"/>
      <c r="BJ677" s="110"/>
      <c r="BK677" s="110"/>
      <c r="BL677" s="110"/>
      <c r="BM677" s="110"/>
      <c r="BN677" s="110"/>
      <c r="BO677" s="110"/>
      <c r="BP677" s="110"/>
      <c r="BQ677" s="110"/>
      <c r="BR677" s="110"/>
      <c r="BS677" s="110"/>
      <c r="BT677" s="110"/>
      <c r="BU677" s="110"/>
      <c r="BV677" s="110"/>
      <c r="BW677" s="110">
        <v>50.5</v>
      </c>
      <c r="BX677" s="110">
        <v>2326</v>
      </c>
      <c r="BY677" s="1054">
        <f t="shared" si="1023"/>
        <v>32</v>
      </c>
      <c r="BZ677" s="1054">
        <f t="shared" si="1031"/>
        <v>23.3125</v>
      </c>
      <c r="CA677" s="110">
        <v>1282</v>
      </c>
      <c r="CB677" s="486">
        <f t="shared" si="990"/>
        <v>78070.703125</v>
      </c>
      <c r="CC677" s="208">
        <f t="shared" si="1024"/>
        <v>367.96875</v>
      </c>
      <c r="CD677" s="208">
        <f t="shared" si="1025"/>
        <v>15.33203125</v>
      </c>
      <c r="CE677" s="230">
        <f t="shared" si="1029"/>
        <v>490.03032742038943</v>
      </c>
      <c r="CF677" s="110"/>
      <c r="CG677" s="208">
        <f>CC677/(AVERAGE(BY677,BY678)*AVERAGE((D$615,D$612,D$578,D$604,D$583,D$591,D$598,D$626,D$633,D$619))*0.01)</f>
        <v>377.26454847440937</v>
      </c>
      <c r="CH677" s="855">
        <f t="shared" si="1018"/>
        <v>0.49325569705093836</v>
      </c>
      <c r="CI677" s="110"/>
      <c r="CJ677" s="110"/>
      <c r="CK677" s="110"/>
      <c r="CL677" s="110"/>
      <c r="CM677" s="110"/>
      <c r="CN677" s="110"/>
    </row>
    <row r="678" spans="1:92">
      <c r="A678" s="1034">
        <f t="shared" si="1010"/>
        <v>41833</v>
      </c>
      <c r="B678" s="1035">
        <f t="shared" si="1019"/>
        <v>0.33333333333333398</v>
      </c>
      <c r="C678" s="854">
        <f t="shared" si="1026"/>
        <v>24</v>
      </c>
      <c r="D678" s="110"/>
      <c r="E678" s="110"/>
      <c r="F678" s="110"/>
      <c r="G678" s="110"/>
      <c r="H678" s="110"/>
      <c r="I678" s="110"/>
      <c r="J678" s="110"/>
      <c r="K678" s="110"/>
      <c r="L678" s="110"/>
      <c r="M678" s="110">
        <v>60</v>
      </c>
      <c r="N678" s="110">
        <v>85</v>
      </c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  <c r="AA678" s="110"/>
      <c r="AB678" s="110"/>
      <c r="AC678" s="110"/>
      <c r="AD678" s="110"/>
      <c r="AE678" s="110"/>
      <c r="AF678" s="110"/>
      <c r="AG678" s="110"/>
      <c r="AH678" s="110"/>
      <c r="AI678" s="110"/>
      <c r="AJ678" s="110"/>
      <c r="AK678" s="110"/>
      <c r="AL678" s="110">
        <v>35.6</v>
      </c>
      <c r="AM678" s="110">
        <v>3745</v>
      </c>
      <c r="AN678" s="208">
        <f t="shared" si="1020"/>
        <v>62.64</v>
      </c>
      <c r="AO678" s="208">
        <f t="shared" si="1030"/>
        <v>22.557471264367816</v>
      </c>
      <c r="AP678" s="110">
        <v>2639</v>
      </c>
      <c r="AQ678" s="486">
        <f t="shared" si="985"/>
        <v>158591.58750000002</v>
      </c>
      <c r="AR678" s="76">
        <f t="shared" si="1021"/>
        <v>965.55000000001746</v>
      </c>
      <c r="AS678" s="230">
        <f t="shared" si="1022"/>
        <v>40.231250000000728</v>
      </c>
      <c r="AT678" s="208">
        <f t="shared" si="1027"/>
        <v>718.8481225163523</v>
      </c>
      <c r="AU678" s="110"/>
      <c r="AV678" s="230">
        <f t="shared" si="1028"/>
        <v>553.4267925628892</v>
      </c>
      <c r="AW678" s="855">
        <f t="shared" si="1014"/>
        <v>0.68333333333334567</v>
      </c>
      <c r="AX678" s="110"/>
      <c r="AY678" s="110"/>
      <c r="AZ678" s="110"/>
      <c r="BA678" s="110"/>
      <c r="BB678" s="110"/>
      <c r="BC678" s="110"/>
      <c r="BD678" s="110"/>
      <c r="BE678" s="110"/>
      <c r="BF678" s="110"/>
      <c r="BG678" s="110"/>
      <c r="BH678" s="110"/>
      <c r="BI678" s="110"/>
      <c r="BJ678" s="110"/>
      <c r="BK678" s="110"/>
      <c r="BL678" s="110"/>
      <c r="BM678" s="110"/>
      <c r="BN678" s="110"/>
      <c r="BO678" s="110"/>
      <c r="BP678" s="110"/>
      <c r="BQ678" s="110"/>
      <c r="BR678" s="110"/>
      <c r="BS678" s="110"/>
      <c r="BT678" s="110"/>
      <c r="BU678" s="110"/>
      <c r="BV678" s="110"/>
      <c r="BW678" s="110">
        <v>50.6</v>
      </c>
      <c r="BX678" s="110">
        <v>2342</v>
      </c>
      <c r="BY678" s="1054">
        <f t="shared" si="1023"/>
        <v>32</v>
      </c>
      <c r="BZ678" s="1054">
        <f t="shared" si="1031"/>
        <v>23.3125</v>
      </c>
      <c r="CA678" s="110">
        <v>1291</v>
      </c>
      <c r="CB678" s="486">
        <f t="shared" si="990"/>
        <v>78622.65625</v>
      </c>
      <c r="CC678" s="208">
        <f t="shared" si="1024"/>
        <v>551.953125</v>
      </c>
      <c r="CD678" s="208">
        <f t="shared" si="1025"/>
        <v>22.998046875</v>
      </c>
      <c r="CE678" s="230">
        <f t="shared" si="1029"/>
        <v>735.0454911305842</v>
      </c>
      <c r="CF678" s="110"/>
      <c r="CG678" s="208">
        <f>CC678/(AVERAGE(BY678,BY679)*AVERAGE((D$615,D$612,D$578,D$604,D$583,D$591,D$598,D$626,D$633,D$619))*0.01)</f>
        <v>565.89682271161405</v>
      </c>
      <c r="CH678" s="855">
        <f t="shared" si="1018"/>
        <v>0.73988354557640745</v>
      </c>
      <c r="CI678" s="110"/>
      <c r="CJ678" s="110"/>
      <c r="CK678" s="110"/>
      <c r="CL678" s="110"/>
      <c r="CM678" s="110"/>
      <c r="CN678" s="110"/>
    </row>
    <row r="679" spans="1:92">
      <c r="A679" s="1034">
        <f t="shared" si="1010"/>
        <v>41834</v>
      </c>
      <c r="B679" s="1035">
        <f t="shared" si="1019"/>
        <v>0.33333333333333398</v>
      </c>
      <c r="C679" s="854">
        <f t="shared" si="1026"/>
        <v>24</v>
      </c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>
        <v>70</v>
      </c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  <c r="AA679" s="110"/>
      <c r="AB679" s="110"/>
      <c r="AC679" s="110"/>
      <c r="AD679" s="110"/>
      <c r="AE679" s="110"/>
      <c r="AF679" s="110"/>
      <c r="AG679" s="110"/>
      <c r="AH679" s="110"/>
      <c r="AI679" s="110"/>
      <c r="AJ679" s="110"/>
      <c r="AK679" s="110"/>
      <c r="AL679" s="110">
        <v>35.5</v>
      </c>
      <c r="AM679" s="110">
        <v>3769</v>
      </c>
      <c r="AN679" s="208">
        <f t="shared" si="1020"/>
        <v>51.84</v>
      </c>
      <c r="AO679" s="208">
        <f t="shared" si="1030"/>
        <v>27.256944444444443</v>
      </c>
      <c r="AP679" s="110">
        <v>2656</v>
      </c>
      <c r="AQ679" s="486">
        <f t="shared" si="985"/>
        <v>159617.484375</v>
      </c>
      <c r="AR679" s="76">
        <f t="shared" si="1021"/>
        <v>1025.8968749999767</v>
      </c>
      <c r="AS679" s="230">
        <f t="shared" si="1022"/>
        <v>42.745703124999032</v>
      </c>
      <c r="AT679" s="208">
        <f t="shared" si="1027"/>
        <v>722.85955177143649</v>
      </c>
      <c r="AU679" s="110"/>
      <c r="AV679" s="230">
        <f t="shared" si="1028"/>
        <v>556.51511171779339</v>
      </c>
      <c r="AW679" s="855">
        <f t="shared" si="1014"/>
        <v>0.72604166666665015</v>
      </c>
      <c r="AX679" s="110"/>
      <c r="AY679" s="110"/>
      <c r="AZ679" s="110"/>
      <c r="BA679" s="110"/>
      <c r="BB679" s="110"/>
      <c r="BC679" s="110"/>
      <c r="BD679" s="110"/>
      <c r="BE679" s="110"/>
      <c r="BF679" s="110"/>
      <c r="BG679" s="110"/>
      <c r="BH679" s="110"/>
      <c r="BI679" s="110"/>
      <c r="BJ679" s="110"/>
      <c r="BK679" s="110"/>
      <c r="BL679" s="110"/>
      <c r="BM679" s="110"/>
      <c r="BN679" s="110"/>
      <c r="BO679" s="110"/>
      <c r="BP679" s="110"/>
      <c r="BQ679" s="110"/>
      <c r="BR679" s="110"/>
      <c r="BS679" s="110"/>
      <c r="BT679" s="110"/>
      <c r="BU679" s="110"/>
      <c r="BV679" s="110"/>
      <c r="BW679" s="110">
        <v>50.6</v>
      </c>
      <c r="BX679" s="110">
        <v>2358</v>
      </c>
      <c r="BY679" s="1054">
        <f t="shared" si="1023"/>
        <v>32</v>
      </c>
      <c r="BZ679" s="1054">
        <f t="shared" si="1031"/>
        <v>23.3125</v>
      </c>
      <c r="CA679" s="110">
        <v>1302</v>
      </c>
      <c r="CB679" s="486">
        <f t="shared" si="990"/>
        <v>79297.265625</v>
      </c>
      <c r="CC679" s="208">
        <f t="shared" si="1024"/>
        <v>674.609375</v>
      </c>
      <c r="CD679" s="208">
        <f t="shared" si="1025"/>
        <v>28.108723958333332</v>
      </c>
      <c r="CE679" s="230">
        <f t="shared" si="1029"/>
        <v>898.38893360404734</v>
      </c>
      <c r="CF679" s="110"/>
      <c r="CG679" s="208">
        <f>CC679/(AVERAGE(BY679,BY680)*AVERAGE((D$615,D$612,D$578,D$604,D$583,D$591,D$598,D$626,D$633,D$619))*0.01)</f>
        <v>691.65167220308388</v>
      </c>
      <c r="CH679" s="855">
        <f t="shared" si="1018"/>
        <v>0.90430211126005366</v>
      </c>
      <c r="CI679" s="110"/>
      <c r="CJ679" s="110"/>
      <c r="CK679" s="110"/>
      <c r="CL679" s="110"/>
      <c r="CM679" s="110"/>
      <c r="CN679" s="110"/>
    </row>
    <row r="680" spans="1:92">
      <c r="A680" s="1034">
        <f t="shared" si="1010"/>
        <v>41835</v>
      </c>
      <c r="B680" s="1035">
        <f t="shared" si="1019"/>
        <v>0.33333333333333398</v>
      </c>
      <c r="C680" s="854">
        <f t="shared" ref="C680" si="1032">((A680-A679)+(B680-B679))*24</f>
        <v>24</v>
      </c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  <c r="AA680" s="110"/>
      <c r="AB680" s="110"/>
      <c r="AC680" s="110"/>
      <c r="AD680" s="110"/>
      <c r="AE680" s="110"/>
      <c r="AF680" s="110"/>
      <c r="AG680" s="110"/>
      <c r="AH680" s="110"/>
      <c r="AI680" s="110"/>
      <c r="AJ680" s="110"/>
      <c r="AK680" s="110"/>
      <c r="AL680" s="110">
        <v>35.9</v>
      </c>
      <c r="AM680" s="110">
        <v>3801</v>
      </c>
      <c r="AN680" s="208">
        <f t="shared" si="1020"/>
        <v>69.12</v>
      </c>
      <c r="AO680" s="208">
        <f t="shared" si="1030"/>
        <v>20.442708333333332</v>
      </c>
      <c r="AP680" s="110">
        <v>2676</v>
      </c>
      <c r="AQ680" s="486">
        <f t="shared" si="985"/>
        <v>160824.421875</v>
      </c>
      <c r="AR680" s="76">
        <f t="shared" si="1021"/>
        <v>1206.9375</v>
      </c>
      <c r="AS680" s="230">
        <f t="shared" si="1022"/>
        <v>50.2890625</v>
      </c>
      <c r="AT680" s="208">
        <f t="shared" si="1027"/>
        <v>1107.527630621104</v>
      </c>
      <c r="AU680" s="110"/>
      <c r="AV680" s="230">
        <f t="shared" si="1028"/>
        <v>852.66337226257542</v>
      </c>
      <c r="AW680" s="855">
        <f t="shared" si="1014"/>
        <v>0.85416666666666663</v>
      </c>
      <c r="AX680" s="110"/>
      <c r="AY680" s="110"/>
      <c r="AZ680" s="110"/>
      <c r="BA680" s="110"/>
      <c r="BB680" s="110"/>
      <c r="BC680" s="110"/>
      <c r="BD680" s="110"/>
      <c r="BE680" s="110"/>
      <c r="BF680" s="110"/>
      <c r="BG680" s="110"/>
      <c r="BH680" s="110"/>
      <c r="BI680" s="110"/>
      <c r="BJ680" s="110"/>
      <c r="BK680" s="110"/>
      <c r="BL680" s="110"/>
      <c r="BM680" s="110"/>
      <c r="BN680" s="110"/>
      <c r="BO680" s="110"/>
      <c r="BP680" s="110"/>
      <c r="BQ680" s="110"/>
      <c r="BR680" s="110"/>
      <c r="BS680" s="110"/>
      <c r="BT680" s="110"/>
      <c r="BU680" s="110"/>
      <c r="BV680" s="110"/>
      <c r="BW680" s="110">
        <v>50.6</v>
      </c>
      <c r="BX680" s="110">
        <v>2374</v>
      </c>
      <c r="BY680" s="1054">
        <f t="shared" ref="BY680:BY681" si="1033">(BX680-BX679)*CB$1/((C680)/24)</f>
        <v>32</v>
      </c>
      <c r="BZ680" s="1054">
        <f t="shared" ref="BZ680:BZ681" si="1034">CB$3/BY680</f>
        <v>23.3125</v>
      </c>
      <c r="CA680" s="110">
        <v>1312</v>
      </c>
      <c r="CB680" s="486">
        <f t="shared" si="990"/>
        <v>79910.546875</v>
      </c>
      <c r="CC680" s="208">
        <f t="shared" si="1024"/>
        <v>613.28125</v>
      </c>
      <c r="CD680" s="208">
        <f t="shared" si="1025"/>
        <v>25.553385416666668</v>
      </c>
      <c r="CE680" s="230">
        <f t="shared" si="1029"/>
        <v>816.71721236731571</v>
      </c>
      <c r="CF680" s="110"/>
      <c r="CG680" s="208">
        <f>CC680/(AVERAGE(BY680,BY681)*AVERAGE((D$615,D$612,D$578,D$604,D$583,D$591,D$598,D$626,D$633,D$619))*0.01)</f>
        <v>628.77424745734891</v>
      </c>
      <c r="CH680" s="855">
        <f t="shared" si="1018"/>
        <v>0.82209282841823061</v>
      </c>
      <c r="CI680" s="110"/>
      <c r="CJ680" s="110"/>
      <c r="CK680" s="110"/>
      <c r="CL680" s="110"/>
      <c r="CM680" s="110"/>
      <c r="CN680" s="110"/>
    </row>
    <row r="681" spans="1:92" s="337" customFormat="1">
      <c r="A681" s="1034">
        <f t="shared" si="1010"/>
        <v>41836</v>
      </c>
      <c r="B681" s="1035">
        <f t="shared" si="1019"/>
        <v>0.33333333333333398</v>
      </c>
      <c r="C681" s="854">
        <f t="shared" ref="C681:C695" si="1035">((A681-A680)+(B681-B680))*24</f>
        <v>24</v>
      </c>
      <c r="D681" s="442">
        <v>3.24</v>
      </c>
      <c r="E681" s="442">
        <v>75.42</v>
      </c>
      <c r="F681" s="442"/>
      <c r="G681" s="442">
        <v>6.74</v>
      </c>
      <c r="H681" s="442"/>
      <c r="I681" s="442"/>
      <c r="J681" s="442"/>
      <c r="K681" s="442"/>
      <c r="L681" s="442"/>
      <c r="M681" s="442">
        <v>45</v>
      </c>
      <c r="N681" s="442">
        <v>85</v>
      </c>
      <c r="O681" s="442"/>
      <c r="P681" s="442"/>
      <c r="Q681" s="442"/>
      <c r="R681" s="442"/>
      <c r="S681" s="442"/>
      <c r="T681" s="442"/>
      <c r="U681" s="442"/>
      <c r="V681" s="442">
        <v>1.84</v>
      </c>
      <c r="W681" s="442">
        <v>66.03</v>
      </c>
      <c r="X681" s="442"/>
      <c r="Y681" s="442"/>
      <c r="Z681" s="442"/>
      <c r="AA681" s="442"/>
      <c r="AB681" s="442"/>
      <c r="AC681" s="442"/>
      <c r="AD681" s="1021">
        <f>D633*(100-E633)/(100-W681)</f>
        <v>2.1854577568442739</v>
      </c>
      <c r="AE681" s="1055">
        <f>D633-V681</f>
        <v>1.0599999999999998</v>
      </c>
      <c r="AF681" s="847">
        <f>100*(AVERAGE(D$615,D$612,D$681,D$604,D$583,D$591,D$598,D$626,D$633,D$619)-V681)/AVERAGE(D$615,D$612,D$681,D$604,D$583,D$591,D$598,D$626,D$633,D$619)</f>
        <v>41.624365482233507</v>
      </c>
      <c r="AG681" s="847">
        <f>100*(1-((100-AVERAGE(E$615,E$612,E$681,E$604,E$583,E$591,E$598,E$626,E$633,E$619))/(100-W681)))</f>
        <v>31.410067706800081</v>
      </c>
      <c r="AH681" s="1055">
        <f>E633-W681</f>
        <v>8.3700000000000045</v>
      </c>
      <c r="AI681" s="847">
        <f>100*(1-((V681*W681)/(AVERAGE(D$615,D$612,D$681,D$604,D$583,D$591,D$598,D$626,D$633,D$619)*AVERAGE(E$615,E$612,E$681,E$604,E$583,E$591,E$598,E$626,E$633,E$619))))</f>
        <v>49.745200166778062</v>
      </c>
      <c r="AJ681" s="847">
        <f>100*100*((AVERAGE(E$615,E$612,E$681,E$604,E$583,E$591,E$598,E$626,E$633,E$619)-W681)/((100-W681)*AVERAGE(E$615,E$612,E$681,E$604,E$583,E$591,E$598,E$626,E$633,E$619)))</f>
        <v>40.951848379139619</v>
      </c>
      <c r="AK681" s="442">
        <v>7.24</v>
      </c>
      <c r="AL681" s="442">
        <v>35.700000000000003</v>
      </c>
      <c r="AM681" s="442">
        <v>3812</v>
      </c>
      <c r="AN681" s="208">
        <f t="shared" si="1020"/>
        <v>23.76</v>
      </c>
      <c r="AO681" s="208">
        <f t="shared" si="1030"/>
        <v>59.469696969696969</v>
      </c>
      <c r="AP681" s="442">
        <v>2696</v>
      </c>
      <c r="AQ681" s="1072">
        <f t="shared" si="985"/>
        <v>162031.359375</v>
      </c>
      <c r="AR681" s="76">
        <f t="shared" si="1021"/>
        <v>1206.9375</v>
      </c>
      <c r="AS681" s="230">
        <f t="shared" si="1022"/>
        <v>50.2890625</v>
      </c>
      <c r="AT681" s="208">
        <f>AR681/(AVERAGE(AN681,AN682)*(AVERAGE(D$615,D$612,D$681,D$604,D$583,D$591,D$598,D$626,D$633,D$619))*AVERAGE(E$615,E$612,E$681,E$604,E$583,E$591,E$598,E$626,E$633,E$619)*0.0001)</f>
        <v>825.45124316423676</v>
      </c>
      <c r="AU681" s="597">
        <f>(AQ681-AQ675)/(AVERAGE(AN675:AN681)*((AVERAGE(D$615,D$612,D$681,D$604,D$583,D$591,D$598,D$626,D$633,D$619)*AVERAGE(E$615,E$612,E$681,E$604,E$583,E$591,E$598,E$626,E$633,E$619))-(V681*W681))*0.0001*(SUM(C675:C681)/24))</f>
        <v>1111.048783042781</v>
      </c>
      <c r="AV681" s="230">
        <f>AR681/(AVERAGE(AN682,AN681)*AVERAGE(D$615,D$612,D$681,D$604,D$583,D$591,D$598,D$626,D$633,D$619)*0.01)</f>
        <v>633.12110350696958</v>
      </c>
      <c r="AW681" s="855">
        <f t="shared" si="1014"/>
        <v>0.85416666666666663</v>
      </c>
      <c r="AX681" s="442">
        <v>75.3</v>
      </c>
      <c r="AY681" s="442">
        <v>24.6</v>
      </c>
      <c r="AZ681" s="442">
        <v>0</v>
      </c>
      <c r="BA681" s="442">
        <v>10</v>
      </c>
      <c r="BB681" s="442">
        <v>40</v>
      </c>
      <c r="BC681" s="442"/>
      <c r="BD681" s="442"/>
      <c r="BE681" s="442"/>
      <c r="BF681" s="442"/>
      <c r="BG681" s="442">
        <v>2.15</v>
      </c>
      <c r="BH681" s="442">
        <v>63.64</v>
      </c>
      <c r="BI681" s="442"/>
      <c r="BJ681" s="442"/>
      <c r="BK681" s="442"/>
      <c r="BL681" s="442"/>
      <c r="BM681" s="442"/>
      <c r="BN681" s="442"/>
      <c r="BO681" s="847">
        <f>D633*(100-E633)/(100-BH681)</f>
        <v>2.0418041804180413</v>
      </c>
      <c r="BP681" s="1055">
        <f>D633-BG681</f>
        <v>0.75</v>
      </c>
      <c r="BQ681" s="1056">
        <f>100*(AVERAGE(D$615,D$612,D$681,D$604,D$583,D$591,D$598,D$626,D$633,D$619)-BG681)/AVERAGE(D$615,D$612,D$681,D$604,D$583,D$591,D$598,D$626,D$633,D$619)</f>
        <v>31.789340101522846</v>
      </c>
      <c r="BR681" s="1056">
        <f>100*(1-((100-AVERAGE(E$615,E$612,E$681,E$604,E$583,E$591,E$598,E$626,E$633,E$619))/(100-BH681)))</f>
        <v>35.918591859185888</v>
      </c>
      <c r="BS681" s="1055">
        <f>E633-BH681</f>
        <v>10.760000000000005</v>
      </c>
      <c r="BT681" s="1055">
        <f>100*(1-((BG681*BH681)/(AVERAGE(D$615,D$612,D$681,D$604,D$583,D$591,D$598,D$626,D$633,D$619)*AVERAGE(E$615,E$612,E$681,E$604,E$583,E$591,E$598,E$626,E$633,E$619))))</f>
        <v>43.403827953858062</v>
      </c>
      <c r="BU681" s="847">
        <f>100*100*((AVERAGE(E$615,E$612,E$681,E$604,E$583,E$591,E$598,E$626,E$633,E$619)-BH681)/((100-BH681)*AVERAGE(E$615,E$612,E$681,E$604,E$583,E$591,E$598,E$626,E$633,E$619)))</f>
        <v>46.829976348351884</v>
      </c>
      <c r="BV681" s="442">
        <v>7.37</v>
      </c>
      <c r="BW681" s="442">
        <v>50.5</v>
      </c>
      <c r="BX681" s="442">
        <v>2390</v>
      </c>
      <c r="BY681" s="1054">
        <f t="shared" si="1033"/>
        <v>32</v>
      </c>
      <c r="BZ681" s="1054">
        <f t="shared" si="1034"/>
        <v>23.3125</v>
      </c>
      <c r="CA681" s="442">
        <v>1320</v>
      </c>
      <c r="CB681" s="1072">
        <f t="shared" si="990"/>
        <v>80401.171875</v>
      </c>
      <c r="CC681" s="208">
        <f t="shared" ref="CC681" si="1036">(CB681-CB680)/((C681/24))</f>
        <v>490.625</v>
      </c>
      <c r="CD681" s="208">
        <f t="shared" ref="CD681" si="1037">(CB681-CB680)/(C681)</f>
        <v>20.442708333333332</v>
      </c>
      <c r="CE681" s="230">
        <f>CC681/(AVERAGE(BY682,BY681)*(AVERAGE(D$615,D$612,D$681,D$604,D$583,D$591,D$598,D$626,D$633,D$619))*AVERAGE(E$615,E$612,E$681,E$604,E$583,E$591,E$598,E$626,E$633,E$619)*0.0001)</f>
        <v>634.18815023593811</v>
      </c>
      <c r="CF681" s="334">
        <f>(CB681-CB675)/(AVERAGE(BY675:BY681)*((AVERAGE(D$615,D$612,D$681,D$604,D$583,D$591,D$598,D$626,D$633,D$619)*AVERAGE(E$615,E$612,E$681,E$604,E$583,E$591,E$598,E$626,E$633,E$619))-(BG681*BH681))*0.0001*(SUM(C675:C681)/24))</f>
        <v>1278.4923764013788</v>
      </c>
      <c r="CG681" s="208">
        <f>CC681/(AVERAGE(BY681,BY682)*AVERAGE((D$615,D$612,D$681,D$604,D$583,D$591,D$598,D$626,D$633,D$619))*0.01)</f>
        <v>486.42231123096445</v>
      </c>
      <c r="CH681" s="855">
        <f t="shared" si="1018"/>
        <v>0.6576742627345844</v>
      </c>
      <c r="CI681" s="442">
        <v>72</v>
      </c>
      <c r="CJ681" s="442">
        <v>27.4</v>
      </c>
      <c r="CK681" s="442">
        <v>0</v>
      </c>
      <c r="CL681" s="442">
        <v>20</v>
      </c>
      <c r="CM681" s="442">
        <v>120</v>
      </c>
      <c r="CN681" s="442"/>
    </row>
    <row r="682" spans="1:92">
      <c r="A682" s="1034">
        <f t="shared" si="1010"/>
        <v>41837</v>
      </c>
      <c r="B682" s="1035">
        <f t="shared" si="1019"/>
        <v>0.33333333333333398</v>
      </c>
      <c r="C682" s="854">
        <f t="shared" si="1035"/>
        <v>24</v>
      </c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  <c r="AA682" s="110"/>
      <c r="AB682" s="110"/>
      <c r="AC682" s="110"/>
      <c r="AD682" s="110"/>
      <c r="AE682" s="110"/>
      <c r="AF682" s="110"/>
      <c r="AG682" s="110"/>
      <c r="AH682" s="110"/>
      <c r="AI682" s="110"/>
      <c r="AJ682" s="110"/>
      <c r="AK682" s="110"/>
      <c r="AL682" s="110">
        <v>35.6</v>
      </c>
      <c r="AM682" s="110">
        <v>3857</v>
      </c>
      <c r="AN682" s="208">
        <f t="shared" ref="AN682:AN694" si="1038">(AM682-AM681)*AQ$1/((C681)/24)</f>
        <v>97.2</v>
      </c>
      <c r="AO682" s="208">
        <f t="shared" ref="AO682:AO694" si="1039">AQ$3/AN682</f>
        <v>14.537037037037036</v>
      </c>
      <c r="AP682" s="110">
        <v>2713</v>
      </c>
      <c r="AQ682" s="486">
        <f t="shared" si="985"/>
        <v>163057.25625000001</v>
      </c>
      <c r="AR682" s="76">
        <f t="shared" ref="AR682:AR694" si="1040">(AQ682-AQ681)/(C682/24)</f>
        <v>1025.8968750000058</v>
      </c>
      <c r="AS682" s="230">
        <f t="shared" ref="AS682:AS694" si="1041">(AQ682-AQ681)/C682</f>
        <v>42.74570312500024</v>
      </c>
      <c r="AT682" s="208">
        <f t="shared" ref="AT682:AT694" si="1042">AR682/(AVERAGE(AN682,AN683)*(AVERAGE(D$615,D$612,D$681,D$604,D$583,D$591,D$598,D$626,D$633,D$619))*AVERAGE(E$615,E$612,E$681,E$604,E$583,E$591,E$598,E$626,E$633,E$619)*0.0001)</f>
        <v>538.2394407481903</v>
      </c>
      <c r="AU682" s="110"/>
      <c r="AV682" s="230">
        <f t="shared" ref="AV682:AV694" si="1043">AR682/(AVERAGE(AN683,AN682)*AVERAGE(D$615,D$612,D$681,D$604,D$583,D$591,D$598,D$626,D$633,D$619)*0.01)</f>
        <v>412.82965105386188</v>
      </c>
      <c r="AW682" s="855">
        <f t="shared" si="1014"/>
        <v>0.7260416666666708</v>
      </c>
      <c r="AX682" s="110"/>
      <c r="AY682" s="110"/>
      <c r="AZ682" s="110"/>
      <c r="BA682" s="110"/>
      <c r="BB682" s="110"/>
      <c r="BC682" s="110"/>
      <c r="BD682" s="110"/>
      <c r="BE682" s="110"/>
      <c r="BF682" s="110"/>
      <c r="BG682" s="110"/>
      <c r="BH682" s="110"/>
      <c r="BI682" s="110"/>
      <c r="BJ682" s="110"/>
      <c r="BK682" s="110"/>
      <c r="BL682" s="110"/>
      <c r="BM682" s="110"/>
      <c r="BN682" s="110"/>
      <c r="BO682" s="110"/>
      <c r="BP682" s="110"/>
      <c r="BQ682" s="110"/>
      <c r="BR682" s="110"/>
      <c r="BS682" s="110"/>
      <c r="BT682" s="110"/>
      <c r="BU682" s="110"/>
      <c r="BV682" s="110"/>
      <c r="BW682" s="110">
        <v>50.5</v>
      </c>
      <c r="BX682" s="110">
        <v>2406</v>
      </c>
      <c r="BY682" s="1054">
        <f t="shared" ref="BY682:BY694" si="1044">(BX682-BX681)*CB$1/((C682)/24)</f>
        <v>32</v>
      </c>
      <c r="BZ682" s="1054">
        <f t="shared" ref="BZ682:BZ694" si="1045">CB$3/BY682</f>
        <v>23.3125</v>
      </c>
      <c r="CA682" s="110">
        <v>1328</v>
      </c>
      <c r="CB682" s="486">
        <f t="shared" si="990"/>
        <v>80891.796875</v>
      </c>
      <c r="CC682" s="208">
        <f t="shared" ref="CC682:CC694" si="1046">(CB682-CB681)/((C682/24))</f>
        <v>490.625</v>
      </c>
      <c r="CD682" s="208">
        <f t="shared" ref="CD682:CD694" si="1047">(CB682-CB681)/(C682)</f>
        <v>20.442708333333332</v>
      </c>
      <c r="CE682" s="230">
        <f t="shared" ref="CE682:CE694" si="1048">CC682/(AVERAGE(BY683,BY682)*(AVERAGE(D$615,D$612,D$681,D$604,D$583,D$591,D$598,D$626,D$633,D$619))*AVERAGE(E$615,E$612,E$681,E$604,E$583,E$591,E$598,E$626,E$633,E$619)*0.0001)</f>
        <v>634.18815023593811</v>
      </c>
      <c r="CF682" s="110"/>
      <c r="CG682" s="208">
        <f>CC682/(AVERAGE(BY682,BY683)*AVERAGE((D$615,D$612,D$681,D$604,D$583,D$591,D$598,D$626,D$633,D$619))*0.01)</f>
        <v>486.42231123096445</v>
      </c>
      <c r="CH682" s="855">
        <f t="shared" si="1018"/>
        <v>0.6576742627345844</v>
      </c>
      <c r="CI682" s="110"/>
      <c r="CJ682" s="110"/>
      <c r="CK682" s="110"/>
      <c r="CL682" s="110"/>
      <c r="CM682" s="110"/>
      <c r="CN682" s="110"/>
    </row>
    <row r="683" spans="1:92">
      <c r="A683" s="1034">
        <f t="shared" si="1010"/>
        <v>41838</v>
      </c>
      <c r="B683" s="1035">
        <f t="shared" si="1019"/>
        <v>0.33333333333333398</v>
      </c>
      <c r="C683" s="854">
        <f t="shared" si="1035"/>
        <v>24</v>
      </c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  <c r="AA683" s="110"/>
      <c r="AB683" s="110"/>
      <c r="AC683" s="110"/>
      <c r="AD683" s="110"/>
      <c r="AE683" s="110"/>
      <c r="AF683" s="110"/>
      <c r="AG683" s="110"/>
      <c r="AH683" s="110"/>
      <c r="AI683" s="110"/>
      <c r="AJ683" s="110"/>
      <c r="AK683" s="110"/>
      <c r="AL683" s="110">
        <v>35.700000000000003</v>
      </c>
      <c r="AM683" s="110">
        <v>3885</v>
      </c>
      <c r="AN683" s="208">
        <f t="shared" si="1038"/>
        <v>60.480000000000004</v>
      </c>
      <c r="AO683" s="208">
        <f t="shared" si="1039"/>
        <v>23.363095238095237</v>
      </c>
      <c r="AP683" s="110">
        <v>2730</v>
      </c>
      <c r="AQ683" s="486">
        <f t="shared" si="985"/>
        <v>164083.15312500001</v>
      </c>
      <c r="AR683" s="76">
        <f t="shared" si="1040"/>
        <v>1025.8968750000058</v>
      </c>
      <c r="AS683" s="230">
        <f t="shared" si="1041"/>
        <v>42.74570312500024</v>
      </c>
      <c r="AT683" s="208">
        <f t="shared" si="1042"/>
        <v>701.63355668960526</v>
      </c>
      <c r="AU683" s="110"/>
      <c r="AV683" s="230">
        <f t="shared" si="1043"/>
        <v>538.15293798092716</v>
      </c>
      <c r="AW683" s="855">
        <f t="shared" si="1014"/>
        <v>0.7260416666666708</v>
      </c>
      <c r="AX683" s="110"/>
      <c r="AY683" s="110"/>
      <c r="AZ683" s="110"/>
      <c r="BA683" s="110"/>
      <c r="BB683" s="110"/>
      <c r="BC683" s="110"/>
      <c r="BD683" s="110"/>
      <c r="BE683" s="110"/>
      <c r="BF683" s="110"/>
      <c r="BG683" s="110"/>
      <c r="BH683" s="110"/>
      <c r="BI683" s="110"/>
      <c r="BJ683" s="110"/>
      <c r="BK683" s="110"/>
      <c r="BL683" s="110"/>
      <c r="BM683" s="110"/>
      <c r="BN683" s="110"/>
      <c r="BO683" s="110"/>
      <c r="BP683" s="110"/>
      <c r="BQ683" s="110"/>
      <c r="BR683" s="110"/>
      <c r="BS683" s="110"/>
      <c r="BT683" s="110"/>
      <c r="BU683" s="110"/>
      <c r="BV683" s="110"/>
      <c r="BW683" s="110">
        <v>50.5</v>
      </c>
      <c r="BX683" s="110">
        <v>2422</v>
      </c>
      <c r="BY683" s="1054">
        <f t="shared" si="1044"/>
        <v>32</v>
      </c>
      <c r="BZ683" s="1054">
        <f t="shared" si="1045"/>
        <v>23.3125</v>
      </c>
      <c r="CA683" s="110">
        <v>1334</v>
      </c>
      <c r="CB683" s="486">
        <f t="shared" si="990"/>
        <v>81259.765625</v>
      </c>
      <c r="CC683" s="208">
        <f t="shared" si="1046"/>
        <v>367.96875</v>
      </c>
      <c r="CD683" s="208">
        <f t="shared" si="1047"/>
        <v>15.33203125</v>
      </c>
      <c r="CE683" s="230">
        <f t="shared" si="1048"/>
        <v>724.78645741250068</v>
      </c>
      <c r="CF683" s="110"/>
      <c r="CG683" s="208">
        <f>CC683/(AVERAGE(BY683,BY684)*AVERAGE((D$615,D$612,D$681,D$604,D$583,D$591,D$598,D$626,D$633,D$619))*0.01)</f>
        <v>555.91121283538791</v>
      </c>
      <c r="CH683" s="855">
        <f t="shared" si="1018"/>
        <v>0.49325569705093836</v>
      </c>
      <c r="CI683" s="110"/>
      <c r="CJ683" s="110"/>
      <c r="CK683" s="110"/>
      <c r="CL683" s="110"/>
      <c r="CM683" s="110"/>
      <c r="CN683" s="110"/>
    </row>
    <row r="684" spans="1:92">
      <c r="A684" s="1034">
        <f t="shared" si="1010"/>
        <v>41839</v>
      </c>
      <c r="B684" s="1035">
        <f t="shared" si="1019"/>
        <v>0.33333333333333398</v>
      </c>
      <c r="C684" s="854">
        <f t="shared" si="1035"/>
        <v>24</v>
      </c>
      <c r="D684" s="110"/>
      <c r="E684" s="110"/>
      <c r="F684" s="110"/>
      <c r="G684" s="110"/>
      <c r="H684" s="110"/>
      <c r="I684" s="110"/>
      <c r="J684" s="110"/>
      <c r="K684" s="110"/>
      <c r="L684" s="110"/>
      <c r="M684" s="110">
        <v>30</v>
      </c>
      <c r="N684" s="110">
        <v>85</v>
      </c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  <c r="AA684" s="110"/>
      <c r="AB684" s="110"/>
      <c r="AC684" s="110"/>
      <c r="AD684" s="110"/>
      <c r="AE684" s="110"/>
      <c r="AF684" s="110"/>
      <c r="AG684" s="110"/>
      <c r="AH684" s="110"/>
      <c r="AI684" s="110"/>
      <c r="AJ684" s="110"/>
      <c r="AK684" s="110"/>
      <c r="AL684" s="110">
        <v>35.700000000000003</v>
      </c>
      <c r="AM684" s="110">
        <v>3913</v>
      </c>
      <c r="AN684" s="208">
        <f t="shared" si="1038"/>
        <v>60.480000000000004</v>
      </c>
      <c r="AO684" s="208">
        <f t="shared" si="1039"/>
        <v>23.363095238095237</v>
      </c>
      <c r="AP684" s="110">
        <v>2744</v>
      </c>
      <c r="AQ684" s="486">
        <f t="shared" si="985"/>
        <v>164928.00937500002</v>
      </c>
      <c r="AR684" s="76">
        <f t="shared" si="1040"/>
        <v>844.85625000001164</v>
      </c>
      <c r="AS684" s="230">
        <f t="shared" si="1041"/>
        <v>35.202343750000487</v>
      </c>
      <c r="AT684" s="208">
        <f t="shared" si="1042"/>
        <v>577.81587021497376</v>
      </c>
      <c r="AU684" s="110"/>
      <c r="AV684" s="230">
        <f t="shared" si="1043"/>
        <v>443.18477245488475</v>
      </c>
      <c r="AW684" s="855">
        <f t="shared" si="1014"/>
        <v>0.59791666666667487</v>
      </c>
      <c r="AX684" s="110"/>
      <c r="AY684" s="110"/>
      <c r="AZ684" s="110"/>
      <c r="BA684" s="110"/>
      <c r="BB684" s="110"/>
      <c r="BC684" s="110"/>
      <c r="BD684" s="110"/>
      <c r="BE684" s="110"/>
      <c r="BF684" s="110"/>
      <c r="BG684" s="110"/>
      <c r="BH684" s="110"/>
      <c r="BI684" s="110"/>
      <c r="BJ684" s="110"/>
      <c r="BK684" s="110"/>
      <c r="BL684" s="110"/>
      <c r="BM684" s="110"/>
      <c r="BN684" s="110"/>
      <c r="BO684" s="110"/>
      <c r="BP684" s="110"/>
      <c r="BQ684" s="110"/>
      <c r="BR684" s="110"/>
      <c r="BS684" s="110"/>
      <c r="BT684" s="110"/>
      <c r="BU684" s="110"/>
      <c r="BV684" s="110"/>
      <c r="BW684" s="110">
        <v>50.6</v>
      </c>
      <c r="BX684" s="110">
        <v>2427</v>
      </c>
      <c r="BY684" s="1054">
        <f t="shared" si="1044"/>
        <v>10</v>
      </c>
      <c r="BZ684" s="1054">
        <f t="shared" si="1045"/>
        <v>74.599999999999994</v>
      </c>
      <c r="CA684" s="110">
        <v>1338</v>
      </c>
      <c r="CB684" s="486">
        <f t="shared" si="990"/>
        <v>81505.078125</v>
      </c>
      <c r="CC684" s="208">
        <f t="shared" si="1046"/>
        <v>245.3125</v>
      </c>
      <c r="CD684" s="208">
        <f t="shared" si="1047"/>
        <v>10.221354166666666</v>
      </c>
      <c r="CE684" s="230">
        <f t="shared" si="1048"/>
        <v>317.09407511796906</v>
      </c>
      <c r="CF684" s="110"/>
      <c r="CG684" s="208">
        <f>CC684/(AVERAGE(BY684,BY685)*AVERAGE((D$615,D$612,D$681,D$604,D$583,D$591,D$598,D$626,D$633,D$619))*0.01)</f>
        <v>243.21115561548223</v>
      </c>
      <c r="CH684" s="855">
        <f t="shared" si="1018"/>
        <v>0.3288371313672922</v>
      </c>
      <c r="CI684" s="110"/>
      <c r="CJ684" s="110"/>
      <c r="CK684" s="110"/>
      <c r="CL684" s="110"/>
      <c r="CM684" s="110"/>
      <c r="CN684" s="110"/>
    </row>
    <row r="685" spans="1:92">
      <c r="A685" s="1034">
        <f t="shared" si="1010"/>
        <v>41840</v>
      </c>
      <c r="B685" s="1035">
        <f t="shared" si="1019"/>
        <v>0.33333333333333398</v>
      </c>
      <c r="C685" s="854">
        <f t="shared" si="1035"/>
        <v>24</v>
      </c>
      <c r="D685" s="110"/>
      <c r="E685" s="110"/>
      <c r="F685" s="110"/>
      <c r="G685" s="110"/>
      <c r="H685" s="110"/>
      <c r="I685" s="110"/>
      <c r="J685" s="110"/>
      <c r="K685" s="110"/>
      <c r="L685" s="110"/>
      <c r="M685" s="110">
        <v>65</v>
      </c>
      <c r="N685" s="110">
        <v>85</v>
      </c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  <c r="AA685" s="110"/>
      <c r="AB685" s="110"/>
      <c r="AC685" s="110"/>
      <c r="AD685" s="110"/>
      <c r="AE685" s="110"/>
      <c r="AF685" s="110"/>
      <c r="AG685" s="110"/>
      <c r="AH685" s="110"/>
      <c r="AI685" s="110"/>
      <c r="AJ685" s="110"/>
      <c r="AK685" s="110"/>
      <c r="AL685" s="110">
        <v>35.6</v>
      </c>
      <c r="AM685" s="110">
        <v>3941</v>
      </c>
      <c r="AN685" s="208">
        <f t="shared" si="1038"/>
        <v>60.480000000000004</v>
      </c>
      <c r="AO685" s="208">
        <f t="shared" si="1039"/>
        <v>23.363095238095237</v>
      </c>
      <c r="AP685" s="110">
        <v>2759</v>
      </c>
      <c r="AQ685" s="486">
        <f t="shared" si="985"/>
        <v>165833.21250000002</v>
      </c>
      <c r="AR685" s="76">
        <f t="shared" si="1040"/>
        <v>905.203125</v>
      </c>
      <c r="AS685" s="230">
        <f t="shared" si="1041"/>
        <v>37.716796875</v>
      </c>
      <c r="AT685" s="208">
        <f t="shared" si="1042"/>
        <v>619.08843237317762</v>
      </c>
      <c r="AU685" s="110"/>
      <c r="AV685" s="230">
        <f t="shared" si="1043"/>
        <v>474.84082763022712</v>
      </c>
      <c r="AW685" s="855">
        <f t="shared" si="1014"/>
        <v>0.640625</v>
      </c>
      <c r="AX685" s="110"/>
      <c r="AY685" s="110"/>
      <c r="AZ685" s="110"/>
      <c r="BA685" s="110"/>
      <c r="BB685" s="110"/>
      <c r="BC685" s="110"/>
      <c r="BD685" s="110"/>
      <c r="BE685" s="110"/>
      <c r="BF685" s="110"/>
      <c r="BG685" s="110"/>
      <c r="BH685" s="110"/>
      <c r="BI685" s="110"/>
      <c r="BJ685" s="110"/>
      <c r="BK685" s="110"/>
      <c r="BL685" s="110"/>
      <c r="BM685" s="110"/>
      <c r="BN685" s="110"/>
      <c r="BO685" s="110"/>
      <c r="BP685" s="110"/>
      <c r="BQ685" s="110"/>
      <c r="BR685" s="110"/>
      <c r="BS685" s="110"/>
      <c r="BT685" s="110"/>
      <c r="BU685" s="110"/>
      <c r="BV685" s="110"/>
      <c r="BW685" s="110">
        <v>50.6</v>
      </c>
      <c r="BX685" s="110">
        <v>2454</v>
      </c>
      <c r="BY685" s="1054">
        <f t="shared" si="1044"/>
        <v>54</v>
      </c>
      <c r="BZ685" s="1054">
        <f t="shared" si="1045"/>
        <v>13.814814814814815</v>
      </c>
      <c r="CA685" s="110">
        <v>1344</v>
      </c>
      <c r="CB685" s="486">
        <f t="shared" si="990"/>
        <v>81873.046875</v>
      </c>
      <c r="CC685" s="208">
        <f t="shared" si="1046"/>
        <v>367.96875</v>
      </c>
      <c r="CD685" s="208">
        <f t="shared" si="1047"/>
        <v>15.33203125</v>
      </c>
      <c r="CE685" s="230">
        <f t="shared" si="1048"/>
        <v>353.96547920145383</v>
      </c>
      <c r="CF685" s="110"/>
      <c r="CG685" s="208">
        <f>CC685/(AVERAGE(BY685,BY686)*AVERAGE((D$615,D$612,D$681,D$604,D$583,D$591,D$598,D$626,D$633,D$619))*0.01)</f>
        <v>271.49152254751505</v>
      </c>
      <c r="CH685" s="855">
        <f t="shared" si="1018"/>
        <v>0.49325569705093836</v>
      </c>
      <c r="CI685" s="110"/>
      <c r="CJ685" s="110"/>
      <c r="CK685" s="110"/>
      <c r="CL685" s="110"/>
      <c r="CM685" s="110"/>
      <c r="CN685" s="110"/>
    </row>
    <row r="686" spans="1:92">
      <c r="A686" s="1034">
        <f t="shared" si="1010"/>
        <v>41841</v>
      </c>
      <c r="B686" s="1035">
        <f t="shared" si="1019"/>
        <v>0.33333333333333398</v>
      </c>
      <c r="C686" s="854">
        <f t="shared" si="1035"/>
        <v>24</v>
      </c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  <c r="AA686" s="110"/>
      <c r="AB686" s="110"/>
      <c r="AC686" s="110"/>
      <c r="AD686" s="110"/>
      <c r="AE686" s="110"/>
      <c r="AF686" s="110"/>
      <c r="AG686" s="110"/>
      <c r="AH686" s="110"/>
      <c r="AI686" s="110"/>
      <c r="AJ686" s="110"/>
      <c r="AK686" s="110"/>
      <c r="AL686" s="110">
        <v>35.6</v>
      </c>
      <c r="AM686" s="110">
        <v>3969</v>
      </c>
      <c r="AN686" s="208">
        <f t="shared" si="1038"/>
        <v>60.480000000000004</v>
      </c>
      <c r="AO686" s="208">
        <f t="shared" si="1039"/>
        <v>23.363095238095237</v>
      </c>
      <c r="AP686" s="110">
        <v>2770</v>
      </c>
      <c r="AQ686" s="486">
        <f t="shared" si="985"/>
        <v>166497.02812500001</v>
      </c>
      <c r="AR686" s="76">
        <f t="shared" si="1040"/>
        <v>663.81562499998836</v>
      </c>
      <c r="AS686" s="230">
        <f t="shared" si="1041"/>
        <v>27.658984374999516</v>
      </c>
      <c r="AT686" s="208">
        <f t="shared" si="1042"/>
        <v>453.99818374032225</v>
      </c>
      <c r="AU686" s="110"/>
      <c r="AV686" s="230">
        <f t="shared" si="1043"/>
        <v>348.21660692882716</v>
      </c>
      <c r="AW686" s="855">
        <f t="shared" si="1014"/>
        <v>0.46979166666665845</v>
      </c>
      <c r="AX686" s="110"/>
      <c r="AY686" s="110"/>
      <c r="AZ686" s="110"/>
      <c r="BA686" s="110"/>
      <c r="BB686" s="110"/>
      <c r="BC686" s="110"/>
      <c r="BD686" s="110"/>
      <c r="BE686" s="110"/>
      <c r="BF686" s="110"/>
      <c r="BG686" s="110"/>
      <c r="BH686" s="110"/>
      <c r="BI686" s="110"/>
      <c r="BJ686" s="110"/>
      <c r="BK686" s="110"/>
      <c r="BL686" s="110"/>
      <c r="BM686" s="110"/>
      <c r="BN686" s="110"/>
      <c r="BO686" s="110"/>
      <c r="BP686" s="110"/>
      <c r="BQ686" s="110"/>
      <c r="BR686" s="110"/>
      <c r="BS686" s="110"/>
      <c r="BT686" s="110"/>
      <c r="BU686" s="110"/>
      <c r="BV686" s="110"/>
      <c r="BW686" s="110">
        <v>50.6</v>
      </c>
      <c r="BX686" s="110">
        <v>2470</v>
      </c>
      <c r="BY686" s="1054">
        <f t="shared" si="1044"/>
        <v>32</v>
      </c>
      <c r="BZ686" s="1054">
        <f t="shared" si="1045"/>
        <v>23.3125</v>
      </c>
      <c r="CA686" s="110">
        <v>1350</v>
      </c>
      <c r="CB686" s="486">
        <f t="shared" si="990"/>
        <v>82241.015625</v>
      </c>
      <c r="CC686" s="208">
        <f t="shared" si="1046"/>
        <v>367.96875</v>
      </c>
      <c r="CD686" s="208">
        <f t="shared" si="1047"/>
        <v>15.33203125</v>
      </c>
      <c r="CE686" s="230">
        <f t="shared" si="1048"/>
        <v>563.72280020972278</v>
      </c>
      <c r="CF686" s="110"/>
      <c r="CG686" s="208">
        <f>CC686/(AVERAGE(BY686,BY687)*AVERAGE((D$615,D$612,D$681,D$604,D$583,D$591,D$598,D$626,D$633,D$619))*0.01)</f>
        <v>432.37538776085728</v>
      </c>
      <c r="CH686" s="855">
        <f t="shared" si="1018"/>
        <v>0.49325569705093836</v>
      </c>
      <c r="CI686" s="110"/>
      <c r="CJ686" s="110"/>
      <c r="CK686" s="110"/>
      <c r="CL686" s="110"/>
      <c r="CM686" s="110"/>
      <c r="CN686" s="110"/>
    </row>
    <row r="687" spans="1:92">
      <c r="A687" s="1034">
        <f t="shared" si="1010"/>
        <v>41842</v>
      </c>
      <c r="B687" s="1035">
        <f t="shared" si="1019"/>
        <v>0.33333333333333398</v>
      </c>
      <c r="C687" s="854">
        <f t="shared" si="1035"/>
        <v>24</v>
      </c>
      <c r="D687" s="110"/>
      <c r="E687" s="110"/>
      <c r="F687" s="110"/>
      <c r="G687" s="110"/>
      <c r="H687" s="110"/>
      <c r="I687" s="110"/>
      <c r="J687" s="110"/>
      <c r="K687" s="110"/>
      <c r="L687" s="110"/>
      <c r="M687" s="110">
        <v>50</v>
      </c>
      <c r="N687" s="110">
        <v>85</v>
      </c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  <c r="AA687" s="110"/>
      <c r="AB687" s="110"/>
      <c r="AC687" s="110"/>
      <c r="AD687" s="110"/>
      <c r="AE687" s="110"/>
      <c r="AF687" s="110"/>
      <c r="AG687" s="110"/>
      <c r="AH687" s="110"/>
      <c r="AI687" s="110"/>
      <c r="AJ687" s="110"/>
      <c r="AK687" s="110"/>
      <c r="AL687" s="110">
        <v>35.4</v>
      </c>
      <c r="AM687" s="110">
        <v>3997</v>
      </c>
      <c r="AN687" s="208">
        <f t="shared" si="1038"/>
        <v>60.480000000000004</v>
      </c>
      <c r="AO687" s="208">
        <f t="shared" si="1039"/>
        <v>23.363095238095237</v>
      </c>
      <c r="AP687" s="110">
        <v>2781</v>
      </c>
      <c r="AQ687" s="486">
        <f t="shared" si="985"/>
        <v>167160.84375</v>
      </c>
      <c r="AR687" s="76">
        <f t="shared" si="1040"/>
        <v>663.81562499998836</v>
      </c>
      <c r="AS687" s="230">
        <f t="shared" si="1041"/>
        <v>27.658984374999516</v>
      </c>
      <c r="AT687" s="208">
        <f t="shared" si="1042"/>
        <v>453.99818374032225</v>
      </c>
      <c r="AU687" s="110"/>
      <c r="AV687" s="230">
        <f t="shared" si="1043"/>
        <v>348.21660692882716</v>
      </c>
      <c r="AW687" s="855">
        <f t="shared" si="1014"/>
        <v>0.46979166666665845</v>
      </c>
      <c r="AX687" s="110"/>
      <c r="AY687" s="110"/>
      <c r="AZ687" s="110"/>
      <c r="BA687" s="110"/>
      <c r="BB687" s="110"/>
      <c r="BC687" s="110"/>
      <c r="BD687" s="110"/>
      <c r="BE687" s="110"/>
      <c r="BF687" s="110"/>
      <c r="BG687" s="110"/>
      <c r="BH687" s="110"/>
      <c r="BI687" s="110"/>
      <c r="BJ687" s="110"/>
      <c r="BK687" s="110"/>
      <c r="BL687" s="110"/>
      <c r="BM687" s="110"/>
      <c r="BN687" s="110"/>
      <c r="BO687" s="110"/>
      <c r="BP687" s="110"/>
      <c r="BQ687" s="110"/>
      <c r="BR687" s="110"/>
      <c r="BS687" s="110"/>
      <c r="BT687" s="110"/>
      <c r="BU687" s="110"/>
      <c r="BV687" s="110"/>
      <c r="BW687" s="110">
        <v>50.5</v>
      </c>
      <c r="BX687" s="110">
        <v>2481</v>
      </c>
      <c r="BY687" s="1054">
        <f t="shared" si="1044"/>
        <v>22</v>
      </c>
      <c r="BZ687" s="1054">
        <f t="shared" si="1045"/>
        <v>33.909090909090907</v>
      </c>
      <c r="CA687" s="110">
        <v>1356</v>
      </c>
      <c r="CB687" s="486">
        <f t="shared" si="990"/>
        <v>82608.984375</v>
      </c>
      <c r="CC687" s="208">
        <f t="shared" si="1046"/>
        <v>367.96875</v>
      </c>
      <c r="CD687" s="208">
        <f t="shared" si="1047"/>
        <v>15.33203125</v>
      </c>
      <c r="CE687" s="230">
        <f t="shared" si="1048"/>
        <v>475.64111267695358</v>
      </c>
      <c r="CF687" s="110"/>
      <c r="CG687" s="208">
        <f>CC687/(AVERAGE(BY687,BY688)*AVERAGE((D$615,D$612,D$681,D$604,D$583,D$591,D$598,D$626,D$633,D$619))*0.01)</f>
        <v>364.81673342322335</v>
      </c>
      <c r="CH687" s="855">
        <f t="shared" si="1018"/>
        <v>0.49325569705093836</v>
      </c>
      <c r="CI687" s="110"/>
      <c r="CJ687" s="110"/>
      <c r="CK687" s="110"/>
      <c r="CL687" s="110"/>
      <c r="CM687" s="110"/>
      <c r="CN687" s="110"/>
    </row>
    <row r="688" spans="1:92" s="94" customFormat="1">
      <c r="A688" s="1102">
        <f t="shared" si="1010"/>
        <v>41843</v>
      </c>
      <c r="B688" s="1103">
        <f t="shared" si="1019"/>
        <v>0.33333333333333398</v>
      </c>
      <c r="C688" s="854">
        <f t="shared" si="1035"/>
        <v>24</v>
      </c>
      <c r="D688" s="116"/>
      <c r="E688" s="116"/>
      <c r="F688" s="116"/>
      <c r="G688" s="116">
        <v>6.87</v>
      </c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  <c r="AB688" s="116"/>
      <c r="AC688" s="116"/>
      <c r="AD688" s="1022"/>
      <c r="AE688" s="1108"/>
      <c r="AF688" s="854"/>
      <c r="AG688" s="854"/>
      <c r="AH688" s="1108"/>
      <c r="AI688" s="854"/>
      <c r="AJ688" s="854"/>
      <c r="AK688" s="116">
        <v>7.28</v>
      </c>
      <c r="AL688" s="116">
        <v>35.700000000000003</v>
      </c>
      <c r="AM688" s="116">
        <v>4025</v>
      </c>
      <c r="AN688" s="208">
        <f t="shared" si="1038"/>
        <v>60.480000000000004</v>
      </c>
      <c r="AO688" s="208">
        <f t="shared" si="1039"/>
        <v>23.363095238095237</v>
      </c>
      <c r="AP688" s="116">
        <v>2793</v>
      </c>
      <c r="AQ688" s="1073">
        <f t="shared" si="985"/>
        <v>167885.00625000001</v>
      </c>
      <c r="AR688" s="76">
        <f t="shared" si="1040"/>
        <v>724.16250000000582</v>
      </c>
      <c r="AS688" s="230">
        <f t="shared" si="1041"/>
        <v>30.173437500000244</v>
      </c>
      <c r="AT688" s="208">
        <f t="shared" si="1042"/>
        <v>660.36099453139479</v>
      </c>
      <c r="AU688" s="208"/>
      <c r="AV688" s="230">
        <f t="shared" si="1043"/>
        <v>506.49688280557979</v>
      </c>
      <c r="AW688" s="855">
        <f t="shared" si="1014"/>
        <v>0.51250000000000417</v>
      </c>
      <c r="AX688" s="116">
        <v>69.8</v>
      </c>
      <c r="AY688" s="116">
        <v>27.1</v>
      </c>
      <c r="AZ688" s="116">
        <v>0</v>
      </c>
      <c r="BA688" s="116">
        <v>14</v>
      </c>
      <c r="BB688" s="116">
        <v>85</v>
      </c>
      <c r="BC688" s="116"/>
      <c r="BD688" s="116"/>
      <c r="BE688" s="116"/>
      <c r="BF688" s="116"/>
      <c r="BG688" s="116"/>
      <c r="BH688" s="116"/>
      <c r="BI688" s="116"/>
      <c r="BJ688" s="116"/>
      <c r="BK688" s="116"/>
      <c r="BL688" s="116"/>
      <c r="BM688" s="116"/>
      <c r="BN688" s="116"/>
      <c r="BO688" s="854"/>
      <c r="BP688" s="1108"/>
      <c r="BQ688" s="1054"/>
      <c r="BR688" s="1054"/>
      <c r="BS688" s="1108"/>
      <c r="BT688" s="1108"/>
      <c r="BU688" s="854"/>
      <c r="BV688" s="116">
        <v>7.52</v>
      </c>
      <c r="BW688" s="116">
        <v>50.6</v>
      </c>
      <c r="BX688" s="116">
        <v>2502</v>
      </c>
      <c r="BY688" s="1054">
        <f t="shared" si="1044"/>
        <v>42</v>
      </c>
      <c r="BZ688" s="1054">
        <f t="shared" si="1045"/>
        <v>17.761904761904763</v>
      </c>
      <c r="CA688" s="116">
        <v>1361</v>
      </c>
      <c r="CB688" s="1073">
        <f t="shared" si="990"/>
        <v>82915.625</v>
      </c>
      <c r="CC688" s="208">
        <f t="shared" si="1046"/>
        <v>306.640625</v>
      </c>
      <c r="CD688" s="208">
        <f t="shared" si="1047"/>
        <v>12.776692708333334</v>
      </c>
      <c r="CE688" s="230">
        <f t="shared" si="1048"/>
        <v>342.80440553293948</v>
      </c>
      <c r="CF688" s="208"/>
      <c r="CG688" s="208">
        <f>CC688/(AVERAGE(BY688,BY689)*AVERAGE((D$615,D$612,D$681,D$604,D$583,D$591,D$598,D$626,D$633,D$619))*0.01)</f>
        <v>262.93097904376452</v>
      </c>
      <c r="CH688" s="855">
        <f t="shared" si="1018"/>
        <v>0.41104641420911531</v>
      </c>
      <c r="CI688" s="116">
        <v>70.3</v>
      </c>
      <c r="CJ688" s="116">
        <v>27.7</v>
      </c>
      <c r="CK688" s="116">
        <v>0</v>
      </c>
      <c r="CL688" s="116">
        <v>15</v>
      </c>
      <c r="CM688" s="116">
        <v>45</v>
      </c>
      <c r="CN688" s="116"/>
    </row>
    <row r="689" spans="1:92">
      <c r="A689" s="1034">
        <f t="shared" si="1010"/>
        <v>41844</v>
      </c>
      <c r="B689" s="1035">
        <f t="shared" si="1019"/>
        <v>0.33333333333333398</v>
      </c>
      <c r="C689" s="854">
        <f t="shared" si="1035"/>
        <v>24</v>
      </c>
      <c r="D689" s="110"/>
      <c r="E689" s="110"/>
      <c r="F689" s="110"/>
      <c r="G689" s="110"/>
      <c r="H689" s="110"/>
      <c r="I689" s="110"/>
      <c r="J689" s="110"/>
      <c r="K689" s="110"/>
      <c r="L689" s="110"/>
      <c r="M689" s="110">
        <v>60</v>
      </c>
      <c r="N689" s="110">
        <v>85</v>
      </c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  <c r="AA689" s="110"/>
      <c r="AB689" s="110"/>
      <c r="AC689" s="110"/>
      <c r="AD689" s="110"/>
      <c r="AE689" s="110"/>
      <c r="AF689" s="110"/>
      <c r="AG689" s="110"/>
      <c r="AH689" s="110"/>
      <c r="AI689" s="110"/>
      <c r="AJ689" s="110"/>
      <c r="AK689" s="110"/>
      <c r="AL689" s="110">
        <v>35.700000000000003</v>
      </c>
      <c r="AM689" s="110">
        <v>4039</v>
      </c>
      <c r="AN689" s="208">
        <f t="shared" si="1038"/>
        <v>30.240000000000002</v>
      </c>
      <c r="AO689" s="208">
        <f t="shared" si="1039"/>
        <v>46.726190476190474</v>
      </c>
      <c r="AP689" s="110">
        <v>2805</v>
      </c>
      <c r="AQ689" s="486">
        <f t="shared" si="985"/>
        <v>168609.16875000001</v>
      </c>
      <c r="AR689" s="76">
        <f t="shared" si="1040"/>
        <v>724.16250000000582</v>
      </c>
      <c r="AS689" s="230">
        <f t="shared" si="1041"/>
        <v>30.173437500000244</v>
      </c>
      <c r="AT689" s="208">
        <f t="shared" si="1042"/>
        <v>616.33692822930163</v>
      </c>
      <c r="AU689" s="110"/>
      <c r="AV689" s="230">
        <f t="shared" si="1043"/>
        <v>472.73042395187429</v>
      </c>
      <c r="AW689" s="855">
        <f t="shared" si="1014"/>
        <v>0.51250000000000417</v>
      </c>
      <c r="AX689" s="110"/>
      <c r="AY689" s="110"/>
      <c r="AZ689" s="110"/>
      <c r="BA689" s="110"/>
      <c r="BB689" s="110"/>
      <c r="BC689" s="110"/>
      <c r="BD689" s="110"/>
      <c r="BE689" s="110"/>
      <c r="BF689" s="110"/>
      <c r="BG689" s="110"/>
      <c r="BH689" s="110"/>
      <c r="BI689" s="110"/>
      <c r="BJ689" s="110"/>
      <c r="BK689" s="110"/>
      <c r="BL689" s="110"/>
      <c r="BM689" s="110"/>
      <c r="BN689" s="110"/>
      <c r="BO689" s="110"/>
      <c r="BP689" s="110"/>
      <c r="BQ689" s="110"/>
      <c r="BR689" s="110"/>
      <c r="BS689" s="110"/>
      <c r="BT689" s="110"/>
      <c r="BU689" s="110"/>
      <c r="BV689" s="110"/>
      <c r="BW689" s="110">
        <v>50.5</v>
      </c>
      <c r="BX689" s="110">
        <v>2518</v>
      </c>
      <c r="BY689" s="1054">
        <f t="shared" si="1044"/>
        <v>32</v>
      </c>
      <c r="BZ689" s="1054">
        <f t="shared" si="1045"/>
        <v>23.3125</v>
      </c>
      <c r="CA689" s="110">
        <v>1367</v>
      </c>
      <c r="CB689" s="486">
        <f t="shared" si="990"/>
        <v>83283.59375</v>
      </c>
      <c r="CC689" s="208">
        <f t="shared" si="1046"/>
        <v>367.96875</v>
      </c>
      <c r="CD689" s="208">
        <f t="shared" si="1047"/>
        <v>15.33203125</v>
      </c>
      <c r="CE689" s="230">
        <f t="shared" si="1048"/>
        <v>475.64111267695358</v>
      </c>
      <c r="CF689" s="110"/>
      <c r="CG689" s="208">
        <f>CC689/(AVERAGE(BY689,BY690)*AVERAGE((D$615,D$612,D$681,D$604,D$583,D$591,D$598,D$626,D$633,D$619))*0.01)</f>
        <v>364.81673342322335</v>
      </c>
      <c r="CH689" s="855">
        <f t="shared" si="1018"/>
        <v>0.49325569705093836</v>
      </c>
      <c r="CI689" s="110"/>
      <c r="CJ689" s="110"/>
      <c r="CK689" s="110"/>
      <c r="CL689" s="110"/>
      <c r="CM689" s="110"/>
      <c r="CN689" s="110"/>
    </row>
    <row r="690" spans="1:92">
      <c r="A690" s="1034">
        <f t="shared" si="1010"/>
        <v>41845</v>
      </c>
      <c r="B690" s="1035">
        <f t="shared" si="1019"/>
        <v>0.33333333333333398</v>
      </c>
      <c r="C690" s="854">
        <f t="shared" si="1035"/>
        <v>24</v>
      </c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  <c r="AA690" s="110"/>
      <c r="AB690" s="110"/>
      <c r="AC690" s="110"/>
      <c r="AD690" s="110"/>
      <c r="AE690" s="110"/>
      <c r="AF690" s="110"/>
      <c r="AG690" s="110"/>
      <c r="AH690" s="110"/>
      <c r="AI690" s="110"/>
      <c r="AJ690" s="110"/>
      <c r="AK690" s="110"/>
      <c r="AL690" s="110">
        <v>35.5</v>
      </c>
      <c r="AM690" s="110">
        <v>4070</v>
      </c>
      <c r="AN690" s="208">
        <f t="shared" si="1038"/>
        <v>66.960000000000008</v>
      </c>
      <c r="AO690" s="208">
        <f t="shared" si="1039"/>
        <v>21.102150537634405</v>
      </c>
      <c r="AP690" s="110">
        <v>2821</v>
      </c>
      <c r="AQ690" s="486">
        <f t="shared" si="985"/>
        <v>169574.71875</v>
      </c>
      <c r="AR690" s="76">
        <f t="shared" si="1040"/>
        <v>965.54999999998836</v>
      </c>
      <c r="AS690" s="230">
        <f t="shared" si="1041"/>
        <v>40.231249999999513</v>
      </c>
      <c r="AT690" s="208">
        <f t="shared" si="1042"/>
        <v>711.1579941107185</v>
      </c>
      <c r="AU690" s="110"/>
      <c r="AV690" s="230">
        <f t="shared" si="1043"/>
        <v>545.45818148292108</v>
      </c>
      <c r="AW690" s="855">
        <f t="shared" si="1014"/>
        <v>0.68333333333332513</v>
      </c>
      <c r="AX690" s="110"/>
      <c r="AY690" s="110"/>
      <c r="AZ690" s="110"/>
      <c r="BA690" s="110"/>
      <c r="BB690" s="110"/>
      <c r="BC690" s="110"/>
      <c r="BD690" s="110"/>
      <c r="BE690" s="110"/>
      <c r="BF690" s="110"/>
      <c r="BG690" s="110"/>
      <c r="BH690" s="110"/>
      <c r="BI690" s="110"/>
      <c r="BJ690" s="110"/>
      <c r="BK690" s="110"/>
      <c r="BL690" s="110"/>
      <c r="BM690" s="110"/>
      <c r="BN690" s="110"/>
      <c r="BO690" s="110"/>
      <c r="BP690" s="110"/>
      <c r="BQ690" s="110"/>
      <c r="BR690" s="110"/>
      <c r="BS690" s="110"/>
      <c r="BT690" s="110"/>
      <c r="BU690" s="110"/>
      <c r="BV690" s="110"/>
      <c r="BW690" s="110">
        <v>50.5</v>
      </c>
      <c r="BX690" s="110">
        <v>2534</v>
      </c>
      <c r="BY690" s="1054">
        <f t="shared" si="1044"/>
        <v>32</v>
      </c>
      <c r="BZ690" s="1054">
        <f t="shared" si="1045"/>
        <v>23.3125</v>
      </c>
      <c r="CA690" s="110">
        <v>1373</v>
      </c>
      <c r="CB690" s="486">
        <f t="shared" si="990"/>
        <v>83651.5625</v>
      </c>
      <c r="CC690" s="208">
        <f t="shared" si="1046"/>
        <v>367.96875</v>
      </c>
      <c r="CD690" s="208">
        <f t="shared" si="1047"/>
        <v>15.33203125</v>
      </c>
      <c r="CE690" s="230">
        <f t="shared" si="1048"/>
        <v>475.64111267695358</v>
      </c>
      <c r="CF690" s="110"/>
      <c r="CG690" s="208">
        <f>CC690/(AVERAGE(BY690,BY691)*AVERAGE((D$615,D$612,D$681,D$604,D$583,D$591,D$598,D$626,D$633,D$619))*0.01)</f>
        <v>364.81673342322335</v>
      </c>
      <c r="CH690" s="855">
        <f t="shared" si="1018"/>
        <v>0.49325569705093836</v>
      </c>
      <c r="CI690" s="110"/>
      <c r="CJ690" s="110"/>
      <c r="CK690" s="110"/>
      <c r="CL690" s="110"/>
      <c r="CM690" s="110"/>
      <c r="CN690" s="110"/>
    </row>
    <row r="691" spans="1:92">
      <c r="A691" s="1034">
        <f t="shared" si="1010"/>
        <v>41846</v>
      </c>
      <c r="B691" s="1035">
        <f t="shared" si="1019"/>
        <v>0.33333333333333398</v>
      </c>
      <c r="C691" s="854">
        <f t="shared" si="1035"/>
        <v>24</v>
      </c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  <c r="AA691" s="110"/>
      <c r="AB691" s="110"/>
      <c r="AC691" s="110"/>
      <c r="AD691" s="110"/>
      <c r="AE691" s="110"/>
      <c r="AF691" s="110"/>
      <c r="AG691" s="110"/>
      <c r="AH691" s="110"/>
      <c r="AI691" s="110"/>
      <c r="AJ691" s="110"/>
      <c r="AK691" s="110"/>
      <c r="AL691" s="110">
        <v>35.5</v>
      </c>
      <c r="AM691" s="110">
        <v>4091</v>
      </c>
      <c r="AN691" s="208">
        <f t="shared" si="1038"/>
        <v>45.36</v>
      </c>
      <c r="AO691" s="208">
        <f t="shared" si="1039"/>
        <v>31.150793650793652</v>
      </c>
      <c r="AP691" s="110">
        <v>2836</v>
      </c>
      <c r="AQ691" s="486">
        <f t="shared" si="985"/>
        <v>170479.921875</v>
      </c>
      <c r="AR691" s="76">
        <f t="shared" si="1040"/>
        <v>905.203125</v>
      </c>
      <c r="AS691" s="230">
        <f t="shared" si="1041"/>
        <v>37.716796875</v>
      </c>
      <c r="AT691" s="208">
        <f t="shared" si="1042"/>
        <v>517.44704795370069</v>
      </c>
      <c r="AU691" s="110"/>
      <c r="AV691" s="230">
        <f t="shared" si="1043"/>
        <v>396.88188578048829</v>
      </c>
      <c r="AW691" s="855">
        <f t="shared" si="1014"/>
        <v>0.640625</v>
      </c>
      <c r="AX691" s="110"/>
      <c r="AY691" s="110"/>
      <c r="AZ691" s="110"/>
      <c r="BA691" s="110"/>
      <c r="BB691" s="110"/>
      <c r="BC691" s="110"/>
      <c r="BD691" s="110"/>
      <c r="BE691" s="110"/>
      <c r="BF691" s="110"/>
      <c r="BG691" s="110"/>
      <c r="BH691" s="110"/>
      <c r="BI691" s="110"/>
      <c r="BJ691" s="110"/>
      <c r="BK691" s="110"/>
      <c r="BL691" s="110"/>
      <c r="BM691" s="110"/>
      <c r="BN691" s="110"/>
      <c r="BO691" s="110"/>
      <c r="BP691" s="110"/>
      <c r="BQ691" s="110"/>
      <c r="BR691" s="110"/>
      <c r="BS691" s="110"/>
      <c r="BT691" s="110"/>
      <c r="BU691" s="110"/>
      <c r="BV691" s="110"/>
      <c r="BW691" s="110">
        <v>50.6</v>
      </c>
      <c r="BX691" s="110">
        <v>2550</v>
      </c>
      <c r="BY691" s="1054">
        <f t="shared" si="1044"/>
        <v>32</v>
      </c>
      <c r="BZ691" s="1054">
        <f t="shared" si="1045"/>
        <v>23.3125</v>
      </c>
      <c r="CA691" s="110">
        <v>1380</v>
      </c>
      <c r="CB691" s="486">
        <f t="shared" si="990"/>
        <v>84080.859375</v>
      </c>
      <c r="CC691" s="208">
        <f t="shared" si="1046"/>
        <v>429.296875</v>
      </c>
      <c r="CD691" s="208">
        <f t="shared" si="1047"/>
        <v>17.887369791666668</v>
      </c>
      <c r="CE691" s="230">
        <f t="shared" si="1048"/>
        <v>554.91463145644582</v>
      </c>
      <c r="CF691" s="110"/>
      <c r="CG691" s="208">
        <f>CC691/(AVERAGE(BY691,BY692)*AVERAGE((D$615,D$612,D$681,D$604,D$583,D$591,D$598,D$626,D$633,D$619))*0.01)</f>
        <v>425.61952232709393</v>
      </c>
      <c r="CH691" s="855">
        <f t="shared" si="1018"/>
        <v>0.57546497989276135</v>
      </c>
      <c r="CI691" s="110"/>
      <c r="CJ691" s="110"/>
      <c r="CK691" s="110"/>
      <c r="CL691" s="110"/>
      <c r="CM691" s="110"/>
      <c r="CN691" s="110"/>
    </row>
    <row r="692" spans="1:92">
      <c r="A692" s="1034">
        <f t="shared" si="1010"/>
        <v>41847</v>
      </c>
      <c r="B692" s="1035">
        <f t="shared" si="1019"/>
        <v>0.33333333333333398</v>
      </c>
      <c r="C692" s="854">
        <f t="shared" si="1035"/>
        <v>24</v>
      </c>
      <c r="D692" s="110"/>
      <c r="E692" s="110"/>
      <c r="F692" s="110"/>
      <c r="G692" s="110"/>
      <c r="H692" s="110"/>
      <c r="I692" s="110"/>
      <c r="J692" s="110"/>
      <c r="K692" s="110"/>
      <c r="L692" s="110"/>
      <c r="M692" s="110">
        <v>50</v>
      </c>
      <c r="N692" s="110">
        <v>85</v>
      </c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  <c r="AA692" s="110"/>
      <c r="AB692" s="110"/>
      <c r="AC692" s="110"/>
      <c r="AD692" s="110"/>
      <c r="AE692" s="110"/>
      <c r="AF692" s="110"/>
      <c r="AG692" s="110"/>
      <c r="AH692" s="110"/>
      <c r="AI692" s="110"/>
      <c r="AJ692" s="110"/>
      <c r="AK692" s="110"/>
      <c r="AL692" s="110">
        <v>35.700000000000003</v>
      </c>
      <c r="AM692" s="110">
        <v>4137</v>
      </c>
      <c r="AN692" s="208">
        <f t="shared" si="1038"/>
        <v>99.360000000000014</v>
      </c>
      <c r="AO692" s="208">
        <f t="shared" si="1039"/>
        <v>14.221014492753621</v>
      </c>
      <c r="AP692" s="110">
        <v>2855</v>
      </c>
      <c r="AQ692" s="486">
        <f t="shared" si="985"/>
        <v>171626.51250000001</v>
      </c>
      <c r="AR692" s="76">
        <f t="shared" si="1040"/>
        <v>1146.5906250000116</v>
      </c>
      <c r="AS692" s="230">
        <f t="shared" si="1041"/>
        <v>47.774609375000487</v>
      </c>
      <c r="AT692" s="208">
        <f t="shared" si="1042"/>
        <v>593.43251535591673</v>
      </c>
      <c r="AU692" s="110"/>
      <c r="AV692" s="230">
        <f t="shared" si="1043"/>
        <v>455.16273927798807</v>
      </c>
      <c r="AW692" s="855">
        <f t="shared" si="1014"/>
        <v>0.81145833333334161</v>
      </c>
      <c r="AX692" s="110"/>
      <c r="AY692" s="110"/>
      <c r="AZ692" s="110"/>
      <c r="BA692" s="110"/>
      <c r="BB692" s="110"/>
      <c r="BC692" s="110"/>
      <c r="BD692" s="110"/>
      <c r="BE692" s="110"/>
      <c r="BF692" s="110"/>
      <c r="BG692" s="110"/>
      <c r="BH692" s="110"/>
      <c r="BI692" s="110"/>
      <c r="BJ692" s="110"/>
      <c r="BK692" s="110"/>
      <c r="BL692" s="110"/>
      <c r="BM692" s="110"/>
      <c r="BN692" s="110"/>
      <c r="BO692" s="110"/>
      <c r="BP692" s="110"/>
      <c r="BQ692" s="110"/>
      <c r="BR692" s="110"/>
      <c r="BS692" s="110"/>
      <c r="BT692" s="110"/>
      <c r="BU692" s="110"/>
      <c r="BV692" s="110"/>
      <c r="BW692" s="110">
        <v>50.6</v>
      </c>
      <c r="BX692" s="110">
        <v>2566</v>
      </c>
      <c r="BY692" s="1054">
        <f t="shared" si="1044"/>
        <v>32</v>
      </c>
      <c r="BZ692" s="1054">
        <f t="shared" si="1045"/>
        <v>23.3125</v>
      </c>
      <c r="CA692" s="110">
        <v>1386</v>
      </c>
      <c r="CB692" s="486">
        <f t="shared" si="990"/>
        <v>84448.828125</v>
      </c>
      <c r="CC692" s="208">
        <f t="shared" si="1046"/>
        <v>367.96875</v>
      </c>
      <c r="CD692" s="208">
        <f t="shared" si="1047"/>
        <v>15.33203125</v>
      </c>
      <c r="CE692" s="230">
        <f t="shared" si="1048"/>
        <v>634.18815023593811</v>
      </c>
      <c r="CF692" s="110"/>
      <c r="CG692" s="208">
        <f>CC692/(AVERAGE(BY692,BY693)*AVERAGE((D$615,D$612,D$681,D$604,D$583,D$591,D$598,D$626,D$633,D$619))*0.01)</f>
        <v>486.42231123096451</v>
      </c>
      <c r="CH692" s="855">
        <f t="shared" si="1018"/>
        <v>0.49325569705093836</v>
      </c>
      <c r="CI692" s="110"/>
      <c r="CJ692" s="110"/>
      <c r="CK692" s="110"/>
      <c r="CL692" s="110"/>
      <c r="CM692" s="110"/>
      <c r="CN692" s="110"/>
    </row>
    <row r="693" spans="1:92">
      <c r="A693" s="1034">
        <f t="shared" si="1010"/>
        <v>41848</v>
      </c>
      <c r="B693" s="1035">
        <f t="shared" si="1019"/>
        <v>0.33333333333333398</v>
      </c>
      <c r="C693" s="854">
        <f t="shared" si="1035"/>
        <v>24</v>
      </c>
      <c r="D693" s="110"/>
      <c r="E693" s="110"/>
      <c r="F693" s="110"/>
      <c r="G693" s="110"/>
      <c r="H693" s="110"/>
      <c r="I693" s="110"/>
      <c r="J693" s="110"/>
      <c r="K693" s="110"/>
      <c r="L693" s="110"/>
      <c r="M693" s="110">
        <v>68</v>
      </c>
      <c r="N693" s="110">
        <v>85</v>
      </c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  <c r="AA693" s="110"/>
      <c r="AB693" s="110"/>
      <c r="AC693" s="110"/>
      <c r="AD693" s="110"/>
      <c r="AE693" s="110"/>
      <c r="AF693" s="110"/>
      <c r="AG693" s="110"/>
      <c r="AH693" s="110"/>
      <c r="AI693" s="110"/>
      <c r="AJ693" s="110"/>
      <c r="AK693" s="110"/>
      <c r="AL693" s="110">
        <v>35.6</v>
      </c>
      <c r="AM693" s="110">
        <v>4165</v>
      </c>
      <c r="AN693" s="208">
        <f t="shared" si="1038"/>
        <v>60.480000000000004</v>
      </c>
      <c r="AO693" s="208">
        <f t="shared" si="1039"/>
        <v>23.363095238095237</v>
      </c>
      <c r="AP693" s="110">
        <v>2871</v>
      </c>
      <c r="AQ693" s="486">
        <f t="shared" si="985"/>
        <v>172592.0625</v>
      </c>
      <c r="AR693" s="76">
        <f t="shared" si="1040"/>
        <v>965.54999999998836</v>
      </c>
      <c r="AS693" s="230">
        <f t="shared" si="1041"/>
        <v>40.231249999999513</v>
      </c>
      <c r="AT693" s="208">
        <f t="shared" si="1042"/>
        <v>725.10226850504625</v>
      </c>
      <c r="AU693" s="110"/>
      <c r="AV693" s="230">
        <f t="shared" si="1043"/>
        <v>556.15343994337047</v>
      </c>
      <c r="AW693" s="855">
        <f t="shared" si="1014"/>
        <v>0.68333333333332513</v>
      </c>
      <c r="AX693" s="110"/>
      <c r="AY693" s="110"/>
      <c r="AZ693" s="110"/>
      <c r="BA693" s="110"/>
      <c r="BB693" s="110"/>
      <c r="BC693" s="110"/>
      <c r="BD693" s="110"/>
      <c r="BE693" s="110"/>
      <c r="BF693" s="110"/>
      <c r="BG693" s="110"/>
      <c r="BH693" s="110"/>
      <c r="BI693" s="110"/>
      <c r="BJ693" s="110"/>
      <c r="BK693" s="110"/>
      <c r="BL693" s="110"/>
      <c r="BM693" s="110"/>
      <c r="BN693" s="110"/>
      <c r="BO693" s="110"/>
      <c r="BP693" s="110"/>
      <c r="BQ693" s="110"/>
      <c r="BR693" s="110"/>
      <c r="BS693" s="110"/>
      <c r="BT693" s="110"/>
      <c r="BU693" s="110"/>
      <c r="BV693" s="110"/>
      <c r="BW693" s="110">
        <v>50.4</v>
      </c>
      <c r="BX693" s="110">
        <v>2574</v>
      </c>
      <c r="BY693" s="1054">
        <f t="shared" si="1044"/>
        <v>16</v>
      </c>
      <c r="BZ693" s="1054">
        <f t="shared" si="1045"/>
        <v>46.625</v>
      </c>
      <c r="CA693" s="110">
        <v>1391</v>
      </c>
      <c r="CB693" s="486">
        <f t="shared" si="990"/>
        <v>84755.46875</v>
      </c>
      <c r="CC693" s="208">
        <f t="shared" si="1046"/>
        <v>306.640625</v>
      </c>
      <c r="CD693" s="208">
        <f t="shared" si="1047"/>
        <v>12.776692708333334</v>
      </c>
      <c r="CE693" s="230">
        <f t="shared" si="1048"/>
        <v>396.36759389746129</v>
      </c>
      <c r="CF693" s="110"/>
      <c r="CG693" s="208">
        <f>CC693/(AVERAGE(BY693,BY694)*AVERAGE((D$615,D$612,D$681,D$604,D$583,D$591,D$598,D$626,D$633,D$619))*0.01)</f>
        <v>304.01394451935278</v>
      </c>
      <c r="CH693" s="855">
        <f t="shared" si="1018"/>
        <v>0.41104641420911531</v>
      </c>
      <c r="CI693" s="110"/>
      <c r="CJ693" s="110"/>
      <c r="CK693" s="110"/>
      <c r="CL693" s="110"/>
      <c r="CM693" s="110"/>
      <c r="CN693" s="110"/>
    </row>
    <row r="694" spans="1:92">
      <c r="A694" s="1034">
        <f t="shared" si="1010"/>
        <v>41849</v>
      </c>
      <c r="B694" s="1035">
        <f t="shared" si="1019"/>
        <v>0.33333333333333398</v>
      </c>
      <c r="C694" s="854">
        <f t="shared" si="1035"/>
        <v>24</v>
      </c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  <c r="AA694" s="110"/>
      <c r="AB694" s="110"/>
      <c r="AC694" s="110"/>
      <c r="AD694" s="110"/>
      <c r="AE694" s="110"/>
      <c r="AF694" s="110"/>
      <c r="AG694" s="110"/>
      <c r="AH694" s="110"/>
      <c r="AI694" s="110"/>
      <c r="AJ694" s="110"/>
      <c r="AK694" s="110"/>
      <c r="AL694" s="110">
        <v>35.799999999999997</v>
      </c>
      <c r="AM694" s="110">
        <v>4188</v>
      </c>
      <c r="AN694" s="208">
        <f t="shared" si="1038"/>
        <v>49.680000000000007</v>
      </c>
      <c r="AO694" s="208">
        <f t="shared" si="1039"/>
        <v>28.442028985507243</v>
      </c>
      <c r="AP694" s="110">
        <v>2885</v>
      </c>
      <c r="AQ694" s="486">
        <f t="shared" si="985"/>
        <v>173436.91875000001</v>
      </c>
      <c r="AR694" s="76">
        <f t="shared" si="1040"/>
        <v>844.85625000001164</v>
      </c>
      <c r="AS694" s="230">
        <f t="shared" si="1041"/>
        <v>35.202343750000487</v>
      </c>
      <c r="AT694" s="208">
        <f t="shared" si="1042"/>
        <v>610.5224289063874</v>
      </c>
      <c r="AU694" s="110"/>
      <c r="AV694" s="230">
        <f t="shared" si="1043"/>
        <v>468.270702971199</v>
      </c>
      <c r="AW694" s="855">
        <f t="shared" si="1014"/>
        <v>0.59791666666667487</v>
      </c>
      <c r="AX694" s="110"/>
      <c r="AY694" s="110"/>
      <c r="AZ694" s="110"/>
      <c r="BA694" s="110"/>
      <c r="BB694" s="110"/>
      <c r="BC694" s="110"/>
      <c r="BD694" s="110"/>
      <c r="BE694" s="110"/>
      <c r="BF694" s="110"/>
      <c r="BG694" s="110"/>
      <c r="BH694" s="110"/>
      <c r="BI694" s="110"/>
      <c r="BJ694" s="110"/>
      <c r="BK694" s="110"/>
      <c r="BL694" s="110"/>
      <c r="BM694" s="110"/>
      <c r="BN694" s="110"/>
      <c r="BO694" s="110"/>
      <c r="BP694" s="110"/>
      <c r="BQ694" s="110"/>
      <c r="BR694" s="110"/>
      <c r="BS694" s="110"/>
      <c r="BT694" s="110"/>
      <c r="BU694" s="110"/>
      <c r="BV694" s="110"/>
      <c r="BW694" s="110">
        <v>50.7</v>
      </c>
      <c r="BX694" s="110">
        <v>2598</v>
      </c>
      <c r="BY694" s="1054">
        <f t="shared" si="1044"/>
        <v>48</v>
      </c>
      <c r="BZ694" s="1054">
        <f t="shared" si="1045"/>
        <v>15.541666666666666</v>
      </c>
      <c r="CA694" s="110">
        <v>1399</v>
      </c>
      <c r="CB694" s="486">
        <f t="shared" si="990"/>
        <v>85246.09375</v>
      </c>
      <c r="CC694" s="208">
        <f t="shared" si="1046"/>
        <v>490.625</v>
      </c>
      <c r="CD694" s="208">
        <f t="shared" si="1047"/>
        <v>20.442708333333332</v>
      </c>
      <c r="CE694" s="230">
        <f t="shared" si="1048"/>
        <v>596.88296492794177</v>
      </c>
      <c r="CF694" s="110"/>
      <c r="CG694" s="208">
        <f>CC694/(AVERAGE(BY694,BY695)*AVERAGE((D$615,D$612,D$681,D$604,D$583,D$591,D$598,D$626,D$633,D$619))*0.01)</f>
        <v>457.80923409973116</v>
      </c>
      <c r="CH694" s="855">
        <f t="shared" si="1018"/>
        <v>0.6576742627345844</v>
      </c>
      <c r="CI694" s="110"/>
      <c r="CJ694" s="110"/>
      <c r="CK694" s="110"/>
      <c r="CL694" s="110"/>
      <c r="CM694" s="110"/>
      <c r="CN694" s="110"/>
    </row>
    <row r="695" spans="1:92" s="337" customFormat="1">
      <c r="A695" s="1034">
        <f t="shared" si="1010"/>
        <v>41850</v>
      </c>
      <c r="B695" s="1035">
        <f t="shared" si="1019"/>
        <v>0.33333333333333398</v>
      </c>
      <c r="C695" s="854">
        <f t="shared" si="1035"/>
        <v>24</v>
      </c>
      <c r="D695" s="442">
        <v>2.74</v>
      </c>
      <c r="E695" s="442">
        <v>80.459999999999994</v>
      </c>
      <c r="F695" s="442"/>
      <c r="G695" s="442">
        <v>7.3</v>
      </c>
      <c r="H695" s="442"/>
      <c r="I695" s="442"/>
      <c r="J695" s="442"/>
      <c r="K695" s="442"/>
      <c r="L695" s="442"/>
      <c r="M695" s="442">
        <v>50</v>
      </c>
      <c r="N695" s="442">
        <v>85</v>
      </c>
      <c r="O695" s="442"/>
      <c r="P695" s="442"/>
      <c r="Q695" s="442"/>
      <c r="R695" s="442"/>
      <c r="S695" s="442"/>
      <c r="T695" s="442"/>
      <c r="U695" s="442"/>
      <c r="V695" s="442">
        <v>2.09</v>
      </c>
      <c r="W695" s="442">
        <v>73.680000000000007</v>
      </c>
      <c r="X695" s="442"/>
      <c r="Y695" s="442"/>
      <c r="Z695" s="442"/>
      <c r="AA695" s="442"/>
      <c r="AB695" s="442"/>
      <c r="AC695" s="442"/>
      <c r="AD695" s="1021">
        <f>D681*(100-E681)/(100-W695)</f>
        <v>3.0258054711246207</v>
      </c>
      <c r="AE695" s="1055">
        <f>D681-V695</f>
        <v>1.1500000000000004</v>
      </c>
      <c r="AF695" s="847">
        <f>100*(AVERAGE(D$615,D$612,D$681,D$604,D$695,D$591,D$598,D$626,D$633,D$619)-V695)/AVERAGE(D$615,D$612,D$681,D$604,D$695,D$591,D$598,D$626,D$633,D$619)</f>
        <v>33.77693282636249</v>
      </c>
      <c r="AG695" s="847">
        <f>100*(1-((100-AVERAGE(E$615,E$612,E$681,E$604,E$695,E$591,E$598,E$626,E$633,E$619))/(100-W695)))</f>
        <v>12.021276595744634</v>
      </c>
      <c r="AH695" s="1055">
        <f>E681-W695</f>
        <v>1.7399999999999949</v>
      </c>
      <c r="AI695" s="847">
        <f>100*(1-((V695*W695)/(AVERAGE(D$615,D$612,D$681,D$604,D$695,D$591,D$598,D$626,D$633,D$619)*AVERAGE(E$615,E$612,E$681,E$604,E$695,E$591,E$598,E$626,E$633,E$619))))</f>
        <v>36.503623062911714</v>
      </c>
      <c r="AJ695" s="847">
        <f>100*100*((AVERAGE(E$615,E$612,E$681,E$604,E$695,E$591,E$598,E$626,E$633,E$619)-W695)/((100-W695)*AVERAGE(E$615,E$612,E$681,E$604,E$695,E$591,E$598,E$626,E$633,E$619)))</f>
        <v>15.643741340566129</v>
      </c>
      <c r="AK695" s="442">
        <v>7.21</v>
      </c>
      <c r="AL695" s="442">
        <v>35.6</v>
      </c>
      <c r="AM695" s="442">
        <v>4218</v>
      </c>
      <c r="AN695" s="208">
        <f t="shared" ref="AN695:AN701" si="1049">(AM695-AM694)*AQ$1/((C694)/24)</f>
        <v>64.800000000000011</v>
      </c>
      <c r="AO695" s="208">
        <f t="shared" ref="AO695:AO701" si="1050">AQ$3/AN695</f>
        <v>21.80555555555555</v>
      </c>
      <c r="AP695" s="442">
        <v>2900</v>
      </c>
      <c r="AQ695" s="486">
        <f t="shared" ref="AQ695:AQ714" si="1051">((AP695-AP$489)*AQ$2)</f>
        <v>174342.12187500001</v>
      </c>
      <c r="AR695" s="76">
        <f t="shared" ref="AR695:AR701" si="1052">(AQ695-AQ694)/(C695/24)</f>
        <v>905.203125</v>
      </c>
      <c r="AS695" s="230">
        <f t="shared" ref="AS695:AS701" si="1053">(AQ695-AQ694)/C695</f>
        <v>37.716796875</v>
      </c>
      <c r="AT695" s="208">
        <f>AR695/(AVERAGE(AN695,AN696)*(AVERAGE(D$615,D$612,D$681,D$604,D$695,D$591,D$598,D$626,D$633,D$619))*AVERAGE(E$615,E$612,E$681,E$604,E$695,E$591,E$598,E$626,E$633,E$619)*0.0001)</f>
        <v>566.55946096515129</v>
      </c>
      <c r="AU695" s="597">
        <f>(AQ695-AQ689)/(AVERAGE(AN689:AN695)*((AVERAGE(D$615,D$612,D$681,D$604,D$695,D$591,D$598,D$626,D$633,D$619)*AVERAGE(E$615,E$612,E$681,E$604,E$695,E$591,E$598,E$626,E$633,E$619))-(V695*W695))*0.0001*(SUM(C689:C695)/24))</f>
        <v>1553.4039370903872</v>
      </c>
      <c r="AV695" s="230">
        <f>AR695/(AVERAGE(AN696,AN695)*AVERAGE(D$615,D$612,D$681,D$604,D$695,D$591,D$598,D$626,D$633,D$619)*0.01)</f>
        <v>435.36695218406084</v>
      </c>
      <c r="AW695" s="855">
        <f t="shared" si="1014"/>
        <v>0.640625</v>
      </c>
      <c r="AX695" s="442">
        <v>72.599999999999994</v>
      </c>
      <c r="AY695" s="442">
        <v>27.4</v>
      </c>
      <c r="AZ695" s="442">
        <v>0</v>
      </c>
      <c r="BA695" s="442">
        <v>16</v>
      </c>
      <c r="BB695" s="442">
        <v>80</v>
      </c>
      <c r="BC695" s="442"/>
      <c r="BD695" s="442"/>
      <c r="BE695" s="442"/>
      <c r="BF695" s="442"/>
      <c r="BG695" s="442">
        <v>2.2000000000000002</v>
      </c>
      <c r="BH695" s="442">
        <v>64.2</v>
      </c>
      <c r="BI695" s="442"/>
      <c r="BJ695" s="442"/>
      <c r="BK695" s="442"/>
      <c r="BL695" s="442"/>
      <c r="BM695" s="442"/>
      <c r="BN695" s="442"/>
      <c r="BO695" s="847">
        <f>D681*(100-E681)/(100-BH695)</f>
        <v>2.2245586592178772</v>
      </c>
      <c r="BP695" s="1055">
        <f>D681-BG695</f>
        <v>1.04</v>
      </c>
      <c r="BQ695" s="1056">
        <f>100*(AVERAGE(D$615,D$612,D$681,D$604,D$695,D$591,D$598,D$626,D$633,D$619)-BG695)/AVERAGE(D$615,D$612,D$681,D$604,D$695,D$591,D$598,D$626,D$633,D$619)</f>
        <v>30.291508238276297</v>
      </c>
      <c r="BR695" s="1056">
        <f>100*(1-((100-AVERAGE(E$615,E$612,E$681,E$604,E$695,E$591,E$598,E$626,E$633,E$619))/(100-BH695)))</f>
        <v>35.318435754189927</v>
      </c>
      <c r="BS695" s="1055">
        <f>E681-BH695</f>
        <v>11.219999999999999</v>
      </c>
      <c r="BT695" s="1055">
        <f>100*(1-((BG695*BH695)/(AVERAGE(D$615,D$612,D$681,D$604,D$695,D$591,D$598,D$626,D$633,D$619)*AVERAGE(E$615,E$612,E$681,E$604,E$695,E$591,E$598,E$626,E$633,E$619))))</f>
        <v>41.761423519042971</v>
      </c>
      <c r="BU695" s="847">
        <f>100*100*((AVERAGE(E$615,E$612,E$681,E$604,E$695,E$591,E$598,E$626,E$633,E$619)-BH695)/((100-BH695)*AVERAGE(E$615,E$612,E$681,E$604,E$695,E$591,E$598,E$626,E$633,E$619)))</f>
        <v>45.961214609065024</v>
      </c>
      <c r="BV695" s="442">
        <v>7.35</v>
      </c>
      <c r="BW695" s="442">
        <v>50.6</v>
      </c>
      <c r="BX695" s="442">
        <v>2608</v>
      </c>
      <c r="BY695" s="1054">
        <f t="shared" ref="BY695:BY701" si="1054">(BX695-BX694)*CB$1/((C695)/24)</f>
        <v>20</v>
      </c>
      <c r="BZ695" s="1054">
        <f t="shared" ref="BZ695:BZ701" si="1055">CB$3/BY695</f>
        <v>37.299999999999997</v>
      </c>
      <c r="CA695" s="442">
        <v>1403</v>
      </c>
      <c r="CB695" s="1072">
        <f t="shared" si="990"/>
        <v>85491.40625</v>
      </c>
      <c r="CC695" s="208">
        <f t="shared" ref="CC695:CC701" si="1056">(CB695-CB694)/((C695/24))</f>
        <v>245.3125</v>
      </c>
      <c r="CD695" s="208">
        <f t="shared" ref="CD695:CD701" si="1057">(CB695-CB694)/(C695)</f>
        <v>10.221354166666666</v>
      </c>
      <c r="CE695" s="230">
        <f>CC695/(AVERAGE(BY696,BY695)*(AVERAGE(D$615,D$612,D$681,D$604,D$695,D$591,D$598,D$626,D$633,D$619))*AVERAGE(E$615,E$612,E$681,E$604,E$695,E$591,E$598,E$626,E$633,E$619)*0.0001)</f>
        <v>316.09872364823991</v>
      </c>
      <c r="CF695" s="334">
        <f>(CB695-CB689)/(AVERAGE(BY689:BY695)*((AVERAGE(D$615,D$612,D$681,D$604,D$695,D$591,D$598,D$626,D$633,D$619)*AVERAGE(E$615,E$612,E$681,E$604,E$695,E$591,E$598,E$626,E$633,E$619))-(BG695*BH695))*0.0001*(SUM(C689:C695)/24))</f>
        <v>1028.2626831838995</v>
      </c>
      <c r="CG695" s="208">
        <f>CC695/(AVERAGE(BY695,BY696)*AVERAGE((D$615,D$612,D$681,D$604,D$695,D$591,D$598,D$626,D$633,D$619))*0.01)</f>
        <v>242.90290320025346</v>
      </c>
      <c r="CH695" s="855">
        <f t="shared" si="1018"/>
        <v>0.3288371313672922</v>
      </c>
      <c r="CI695" s="442">
        <v>68.900000000000006</v>
      </c>
      <c r="CJ695" s="442">
        <v>28.8</v>
      </c>
      <c r="CK695" s="442">
        <v>0</v>
      </c>
      <c r="CL695" s="442">
        <v>12</v>
      </c>
      <c r="CM695" s="442">
        <v>85</v>
      </c>
      <c r="CN695" s="442"/>
    </row>
    <row r="696" spans="1:92">
      <c r="A696" s="1034">
        <f t="shared" si="1010"/>
        <v>41851</v>
      </c>
      <c r="B696" s="1035">
        <f t="shared" si="1019"/>
        <v>0.33333333333333398</v>
      </c>
      <c r="C696" s="854">
        <f t="shared" ref="C696:C702" si="1058">((A696-A695)+(B696-B695))*24</f>
        <v>24</v>
      </c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  <c r="AA696" s="110"/>
      <c r="AB696" s="110"/>
      <c r="AC696" s="110"/>
      <c r="AD696" s="110"/>
      <c r="AE696" s="110"/>
      <c r="AF696" s="110"/>
      <c r="AG696" s="110"/>
      <c r="AH696" s="110"/>
      <c r="AI696" s="110"/>
      <c r="AJ696" s="110"/>
      <c r="AK696" s="110"/>
      <c r="AL696" s="110">
        <v>35.700000000000003</v>
      </c>
      <c r="AM696" s="116">
        <v>4249</v>
      </c>
      <c r="AN696" s="208">
        <f t="shared" si="1049"/>
        <v>66.960000000000008</v>
      </c>
      <c r="AO696" s="208">
        <f t="shared" si="1050"/>
        <v>21.102150537634405</v>
      </c>
      <c r="AP696" s="116">
        <v>2915</v>
      </c>
      <c r="AQ696" s="486">
        <f t="shared" si="1051"/>
        <v>175247.32500000001</v>
      </c>
      <c r="AR696" s="76">
        <f t="shared" si="1052"/>
        <v>905.203125</v>
      </c>
      <c r="AS696" s="230">
        <f t="shared" si="1053"/>
        <v>37.716796875</v>
      </c>
      <c r="AT696" s="208">
        <f t="shared" ref="AT696:AT701" si="1059">AR696/(AVERAGE(AN696,AN697)*(AVERAGE(D$615,D$612,D$681,D$604,D$695,D$591,D$598,D$626,D$633,D$619))*AVERAGE(E$615,E$612,E$681,E$604,E$695,E$591,E$598,E$626,E$633,E$619)*0.0001)</f>
        <v>864.00317797185585</v>
      </c>
      <c r="AU696" s="110"/>
      <c r="AV696" s="230">
        <f t="shared" ref="AV696:AV701" si="1060">AR696/(AVERAGE(AN697,AN696)*AVERAGE(D$615,D$612,D$681,D$604,D$695,D$591,D$598,D$626,D$633,D$619)*0.01)</f>
        <v>663.9346020806928</v>
      </c>
      <c r="AW696" s="855">
        <f t="shared" si="1014"/>
        <v>0.640625</v>
      </c>
      <c r="AX696" s="110"/>
      <c r="AY696" s="110"/>
      <c r="AZ696" s="110"/>
      <c r="BA696" s="110"/>
      <c r="BB696" s="110"/>
      <c r="BC696" s="110"/>
      <c r="BD696" s="110"/>
      <c r="BE696" s="110"/>
      <c r="BF696" s="110"/>
      <c r="BG696" s="110"/>
      <c r="BH696" s="110"/>
      <c r="BI696" s="110"/>
      <c r="BJ696" s="110"/>
      <c r="BK696" s="110"/>
      <c r="BL696" s="110"/>
      <c r="BM696" s="110"/>
      <c r="BN696" s="110"/>
      <c r="BO696" s="110"/>
      <c r="BP696" s="110"/>
      <c r="BQ696" s="110"/>
      <c r="BR696" s="110"/>
      <c r="BS696" s="110"/>
      <c r="BT696" s="110"/>
      <c r="BU696" s="110"/>
      <c r="BV696" s="110"/>
      <c r="BW696" s="110">
        <v>50.7</v>
      </c>
      <c r="BX696" s="116">
        <v>2630</v>
      </c>
      <c r="BY696" s="1054">
        <f t="shared" si="1054"/>
        <v>44</v>
      </c>
      <c r="BZ696" s="1054">
        <f t="shared" si="1055"/>
        <v>16.954545454545453</v>
      </c>
      <c r="CA696" s="116">
        <v>1404</v>
      </c>
      <c r="CB696" s="486">
        <f t="shared" si="990"/>
        <v>85552.734375</v>
      </c>
      <c r="CC696" s="208">
        <f t="shared" si="1056"/>
        <v>61.328125</v>
      </c>
      <c r="CD696" s="208">
        <f t="shared" si="1057"/>
        <v>2.5553385416666665</v>
      </c>
      <c r="CE696" s="230">
        <f t="shared" ref="CE696:CE701" si="1061">CC696/(AVERAGE(BY697,BY696)*(AVERAGE(D$615,D$612,D$681,D$604,D$695,D$591,D$598,D$626,D$633,D$619))*AVERAGE(E$615,E$612,E$681,E$604,E$695,E$591,E$598,E$626,E$633,E$619)*0.0001)</f>
        <v>66.547099715418938</v>
      </c>
      <c r="CF696" s="110"/>
      <c r="CG696" s="208">
        <f>CC696/(AVERAGE(BY696,BY697)*AVERAGE((D$615,D$612,D$681,D$604,D$695,D$591,D$598,D$626,D$633,D$619))*0.01)</f>
        <v>51.137453305316519</v>
      </c>
      <c r="CH696" s="855">
        <f t="shared" si="1018"/>
        <v>8.220928284182305E-2</v>
      </c>
      <c r="CI696" s="110"/>
      <c r="CJ696" s="110"/>
      <c r="CK696" s="110"/>
      <c r="CL696" s="110"/>
      <c r="CM696" s="110"/>
      <c r="CN696" s="932" t="s">
        <v>185</v>
      </c>
    </row>
    <row r="697" spans="1:92">
      <c r="A697" s="1034">
        <f t="shared" si="1010"/>
        <v>41852</v>
      </c>
      <c r="B697" s="1035">
        <f t="shared" si="1019"/>
        <v>0.33333333333333398</v>
      </c>
      <c r="C697" s="854">
        <f t="shared" si="1058"/>
        <v>24</v>
      </c>
      <c r="D697" s="110"/>
      <c r="E697" s="110"/>
      <c r="F697" s="110"/>
      <c r="G697" s="110"/>
      <c r="H697" s="110"/>
      <c r="I697" s="110"/>
      <c r="J697" s="110"/>
      <c r="K697" s="110"/>
      <c r="L697" s="110"/>
      <c r="M697" s="110">
        <v>55</v>
      </c>
      <c r="N697" s="110">
        <v>85</v>
      </c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  <c r="AA697" s="110"/>
      <c r="AB697" s="110"/>
      <c r="AC697" s="110"/>
      <c r="AD697" s="110"/>
      <c r="AE697" s="110"/>
      <c r="AF697" s="110"/>
      <c r="AG697" s="110"/>
      <c r="AH697" s="110"/>
      <c r="AI697" s="110"/>
      <c r="AJ697" s="110"/>
      <c r="AK697" s="110"/>
      <c r="AL697" s="110">
        <v>35.700000000000003</v>
      </c>
      <c r="AM697" s="116">
        <v>4258</v>
      </c>
      <c r="AN697" s="208">
        <f t="shared" si="1049"/>
        <v>19.440000000000001</v>
      </c>
      <c r="AO697" s="208">
        <f t="shared" si="1050"/>
        <v>72.685185185185176</v>
      </c>
      <c r="AP697" s="116">
        <v>2928</v>
      </c>
      <c r="AQ697" s="486">
        <f t="shared" si="1051"/>
        <v>176031.83437500001</v>
      </c>
      <c r="AR697" s="76">
        <f t="shared" si="1052"/>
        <v>784.50937499999418</v>
      </c>
      <c r="AS697" s="230">
        <f t="shared" si="1053"/>
        <v>32.68789062499976</v>
      </c>
      <c r="AT697" s="208">
        <f t="shared" si="1059"/>
        <v>544.58382126710501</v>
      </c>
      <c r="AU697" s="110"/>
      <c r="AV697" s="230">
        <f t="shared" si="1060"/>
        <v>418.47999161449417</v>
      </c>
      <c r="AW697" s="855">
        <f t="shared" si="1014"/>
        <v>0.5552083333333292</v>
      </c>
      <c r="AX697" s="110"/>
      <c r="AY697" s="110"/>
      <c r="AZ697" s="110"/>
      <c r="BA697" s="110"/>
      <c r="BB697" s="110"/>
      <c r="BC697" s="110"/>
      <c r="BD697" s="110"/>
      <c r="BE697" s="110"/>
      <c r="BF697" s="110"/>
      <c r="BG697" s="110"/>
      <c r="BH697" s="110"/>
      <c r="BI697" s="110"/>
      <c r="BJ697" s="110"/>
      <c r="BK697" s="110"/>
      <c r="BL697" s="110"/>
      <c r="BM697" s="110"/>
      <c r="BN697" s="110"/>
      <c r="BO697" s="110"/>
      <c r="BP697" s="110"/>
      <c r="BQ697" s="110"/>
      <c r="BR697" s="110"/>
      <c r="BS697" s="110"/>
      <c r="BT697" s="110"/>
      <c r="BU697" s="110"/>
      <c r="BV697" s="110"/>
      <c r="BW697" s="110">
        <v>50.7</v>
      </c>
      <c r="BX697" s="116">
        <v>2646</v>
      </c>
      <c r="BY697" s="1054">
        <f t="shared" si="1054"/>
        <v>32</v>
      </c>
      <c r="BZ697" s="1054">
        <f t="shared" si="1055"/>
        <v>23.3125</v>
      </c>
      <c r="CA697" s="116">
        <v>1404</v>
      </c>
      <c r="CB697" s="486">
        <f t="shared" si="990"/>
        <v>85552.734375</v>
      </c>
      <c r="CC697" s="208">
        <f t="shared" si="1056"/>
        <v>0</v>
      </c>
      <c r="CD697" s="208">
        <f t="shared" si="1057"/>
        <v>0</v>
      </c>
      <c r="CE697" s="230">
        <f t="shared" si="1061"/>
        <v>0</v>
      </c>
      <c r="CF697" s="110"/>
      <c r="CG697" s="208">
        <f>CC697/(AVERAGE(BY697,BY698)*AVERAGE((D$615,D$612,D$681,D$604,D$695,D$591,D$598,D$626,D$633,D$619))*0.01)</f>
        <v>0</v>
      </c>
      <c r="CH697" s="855">
        <f t="shared" si="1018"/>
        <v>0</v>
      </c>
      <c r="CI697" s="110"/>
      <c r="CJ697" s="110"/>
      <c r="CK697" s="110"/>
      <c r="CL697" s="110"/>
      <c r="CM697" s="110"/>
      <c r="CN697" s="932" t="s">
        <v>185</v>
      </c>
    </row>
    <row r="698" spans="1:92">
      <c r="A698" s="1034">
        <f t="shared" si="1010"/>
        <v>41853</v>
      </c>
      <c r="B698" s="1035">
        <f t="shared" si="1019"/>
        <v>0.33333333333333398</v>
      </c>
      <c r="C698" s="854">
        <f t="shared" si="1058"/>
        <v>24</v>
      </c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  <c r="AA698" s="110"/>
      <c r="AB698" s="110"/>
      <c r="AC698" s="110"/>
      <c r="AD698" s="110"/>
      <c r="AE698" s="110"/>
      <c r="AF698" s="110"/>
      <c r="AG698" s="110"/>
      <c r="AH698" s="110"/>
      <c r="AI698" s="110"/>
      <c r="AJ698" s="110"/>
      <c r="AK698" s="110"/>
      <c r="AL698" s="110">
        <v>35.799999999999997</v>
      </c>
      <c r="AM698" s="116">
        <v>4304</v>
      </c>
      <c r="AN698" s="208">
        <f t="shared" si="1049"/>
        <v>99.360000000000014</v>
      </c>
      <c r="AO698" s="208">
        <f t="shared" si="1050"/>
        <v>14.221014492753621</v>
      </c>
      <c r="AP698" s="116">
        <v>2944</v>
      </c>
      <c r="AQ698" s="486">
        <f t="shared" si="1051"/>
        <v>176997.38437500002</v>
      </c>
      <c r="AR698" s="76">
        <f t="shared" si="1052"/>
        <v>965.55000000001746</v>
      </c>
      <c r="AS698" s="230">
        <f t="shared" si="1053"/>
        <v>40.231250000000728</v>
      </c>
      <c r="AT698" s="208">
        <f t="shared" si="1059"/>
        <v>542.11964108038978</v>
      </c>
      <c r="AU698" s="110"/>
      <c r="AV698" s="230">
        <f t="shared" si="1060"/>
        <v>416.58641699181476</v>
      </c>
      <c r="AW698" s="855">
        <f t="shared" si="1014"/>
        <v>0.68333333333334567</v>
      </c>
      <c r="AX698" s="110"/>
      <c r="AY698" s="110"/>
      <c r="AZ698" s="110"/>
      <c r="BA698" s="110"/>
      <c r="BB698" s="110"/>
      <c r="BC698" s="110"/>
      <c r="BD698" s="110"/>
      <c r="BE698" s="110"/>
      <c r="BF698" s="110"/>
      <c r="BG698" s="110"/>
      <c r="BH698" s="110"/>
      <c r="BI698" s="110"/>
      <c r="BJ698" s="110"/>
      <c r="BK698" s="110"/>
      <c r="BL698" s="110"/>
      <c r="BM698" s="110"/>
      <c r="BN698" s="110"/>
      <c r="BO698" s="110"/>
      <c r="BP698" s="110"/>
      <c r="BQ698" s="110"/>
      <c r="BR698" s="110"/>
      <c r="BS698" s="110"/>
      <c r="BT698" s="110"/>
      <c r="BU698" s="110"/>
      <c r="BV698" s="110"/>
      <c r="BW698" s="110">
        <v>50.6</v>
      </c>
      <c r="BX698" s="116">
        <v>2652</v>
      </c>
      <c r="BY698" s="1054">
        <f t="shared" si="1054"/>
        <v>12</v>
      </c>
      <c r="BZ698" s="1054">
        <f t="shared" si="1055"/>
        <v>62.166666666666664</v>
      </c>
      <c r="CA698" s="116">
        <v>1404</v>
      </c>
      <c r="CB698" s="486">
        <f t="shared" si="990"/>
        <v>85552.734375</v>
      </c>
      <c r="CC698" s="208">
        <f t="shared" si="1056"/>
        <v>0</v>
      </c>
      <c r="CD698" s="208">
        <f t="shared" si="1057"/>
        <v>0</v>
      </c>
      <c r="CE698" s="230">
        <f t="shared" si="1061"/>
        <v>0</v>
      </c>
      <c r="CF698" s="110"/>
      <c r="CG698" s="208">
        <f>CC698/(AVERAGE(BY698,BY699)*AVERAGE((D$615,D$612,D$681,D$604,D$695,D$591,D$598,D$626,D$633,D$619))*0.01)</f>
        <v>0</v>
      </c>
      <c r="CH698" s="855">
        <f t="shared" si="1018"/>
        <v>0</v>
      </c>
      <c r="CI698" s="110"/>
      <c r="CJ698" s="110"/>
      <c r="CK698" s="110"/>
      <c r="CL698" s="110"/>
      <c r="CM698" s="110"/>
      <c r="CN698" s="932" t="s">
        <v>185</v>
      </c>
    </row>
    <row r="699" spans="1:92">
      <c r="A699" s="1034">
        <f t="shared" si="1010"/>
        <v>41854</v>
      </c>
      <c r="B699" s="1035">
        <f t="shared" si="1019"/>
        <v>0.33333333333333398</v>
      </c>
      <c r="C699" s="854">
        <f t="shared" si="1058"/>
        <v>24</v>
      </c>
      <c r="D699" s="110"/>
      <c r="E699" s="110"/>
      <c r="F699" s="110"/>
      <c r="G699" s="110"/>
      <c r="H699" s="110"/>
      <c r="I699" s="110"/>
      <c r="J699" s="110"/>
      <c r="K699" s="110"/>
      <c r="L699" s="110"/>
      <c r="M699" s="110">
        <v>50</v>
      </c>
      <c r="N699" s="110">
        <v>85</v>
      </c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  <c r="AA699" s="110"/>
      <c r="AB699" s="110"/>
      <c r="AC699" s="110"/>
      <c r="AD699" s="110"/>
      <c r="AE699" s="110"/>
      <c r="AF699" s="110"/>
      <c r="AG699" s="110"/>
      <c r="AH699" s="110"/>
      <c r="AI699" s="110"/>
      <c r="AJ699" s="110"/>
      <c r="AK699" s="110"/>
      <c r="AL699" s="110">
        <v>35.799999999999997</v>
      </c>
      <c r="AM699" s="116">
        <v>4326</v>
      </c>
      <c r="AN699" s="208">
        <f t="shared" si="1049"/>
        <v>47.52</v>
      </c>
      <c r="AO699" s="208">
        <f t="shared" si="1050"/>
        <v>29.734848484848484</v>
      </c>
      <c r="AP699" s="116">
        <v>2959</v>
      </c>
      <c r="AQ699" s="486">
        <f t="shared" si="1051"/>
        <v>177902.58750000002</v>
      </c>
      <c r="AR699" s="76">
        <f t="shared" si="1052"/>
        <v>905.203125</v>
      </c>
      <c r="AS699" s="230">
        <f t="shared" si="1053"/>
        <v>37.716796875</v>
      </c>
      <c r="AT699" s="208">
        <f t="shared" si="1059"/>
        <v>751.30711127987456</v>
      </c>
      <c r="AU699" s="110"/>
      <c r="AV699" s="230">
        <f t="shared" si="1060"/>
        <v>577.33443659190675</v>
      </c>
      <c r="AW699" s="855">
        <f t="shared" si="1014"/>
        <v>0.640625</v>
      </c>
      <c r="AX699" s="110"/>
      <c r="AY699" s="110"/>
      <c r="AZ699" s="110"/>
      <c r="BA699" s="110"/>
      <c r="BB699" s="110"/>
      <c r="BC699" s="110"/>
      <c r="BD699" s="110"/>
      <c r="BE699" s="110"/>
      <c r="BF699" s="110"/>
      <c r="BG699" s="110"/>
      <c r="BH699" s="110"/>
      <c r="BI699" s="110"/>
      <c r="BJ699" s="110"/>
      <c r="BK699" s="110"/>
      <c r="BL699" s="110"/>
      <c r="BM699" s="110"/>
      <c r="BN699" s="110"/>
      <c r="BO699" s="110"/>
      <c r="BP699" s="110"/>
      <c r="BQ699" s="110"/>
      <c r="BR699" s="110"/>
      <c r="BS699" s="110"/>
      <c r="BT699" s="110"/>
      <c r="BU699" s="110"/>
      <c r="BV699" s="110"/>
      <c r="BW699" s="110">
        <v>50.4</v>
      </c>
      <c r="BX699" s="116">
        <v>2667</v>
      </c>
      <c r="BY699" s="1054">
        <f t="shared" si="1054"/>
        <v>30</v>
      </c>
      <c r="BZ699" s="1054">
        <f t="shared" si="1055"/>
        <v>24.866666666666667</v>
      </c>
      <c r="CA699" s="116">
        <v>1404</v>
      </c>
      <c r="CB699" s="486">
        <f t="shared" si="990"/>
        <v>85552.734375</v>
      </c>
      <c r="CC699" s="208">
        <f t="shared" si="1056"/>
        <v>0</v>
      </c>
      <c r="CD699" s="208">
        <f t="shared" si="1057"/>
        <v>0</v>
      </c>
      <c r="CE699" s="230">
        <f t="shared" si="1061"/>
        <v>0</v>
      </c>
      <c r="CF699" s="110"/>
      <c r="CG699" s="208">
        <f>CC699/(AVERAGE(BY699,BY700)*AVERAGE((D$615,D$612,D$681,D$604,D$695,D$591,D$598,D$626,D$633,D$619))*0.01)</f>
        <v>0</v>
      </c>
      <c r="CH699" s="855">
        <f t="shared" si="1018"/>
        <v>0</v>
      </c>
      <c r="CI699" s="110"/>
      <c r="CJ699" s="110"/>
      <c r="CK699" s="110"/>
      <c r="CL699" s="110"/>
      <c r="CM699" s="110"/>
      <c r="CN699" s="932" t="s">
        <v>185</v>
      </c>
    </row>
    <row r="700" spans="1:92">
      <c r="A700" s="1034">
        <f t="shared" si="1010"/>
        <v>41855</v>
      </c>
      <c r="B700" s="1035">
        <f t="shared" si="1019"/>
        <v>0.33333333333333398</v>
      </c>
      <c r="C700" s="854">
        <f t="shared" si="1058"/>
        <v>24</v>
      </c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  <c r="AA700" s="110"/>
      <c r="AB700" s="110"/>
      <c r="AC700" s="110"/>
      <c r="AD700" s="110"/>
      <c r="AE700" s="110"/>
      <c r="AF700" s="110"/>
      <c r="AG700" s="110"/>
      <c r="AH700" s="110"/>
      <c r="AI700" s="110"/>
      <c r="AJ700" s="110"/>
      <c r="AK700" s="110"/>
      <c r="AL700" s="110">
        <v>35.799999999999997</v>
      </c>
      <c r="AM700" s="116">
        <v>4350</v>
      </c>
      <c r="AN700" s="208">
        <f t="shared" si="1049"/>
        <v>51.84</v>
      </c>
      <c r="AO700" s="208">
        <f t="shared" si="1050"/>
        <v>27.256944444444443</v>
      </c>
      <c r="AP700" s="116">
        <v>2973</v>
      </c>
      <c r="AQ700" s="486">
        <f t="shared" si="1051"/>
        <v>178747.44375000001</v>
      </c>
      <c r="AR700" s="76">
        <f t="shared" si="1052"/>
        <v>844.85624999998254</v>
      </c>
      <c r="AS700" s="230">
        <f t="shared" si="1053"/>
        <v>35.202343749999272</v>
      </c>
      <c r="AT700" s="208">
        <f t="shared" si="1059"/>
        <v>768.00282486385584</v>
      </c>
      <c r="AU700" s="110"/>
      <c r="AV700" s="230">
        <f t="shared" si="1060"/>
        <v>590.16409073838145</v>
      </c>
      <c r="AW700" s="855">
        <f t="shared" si="1014"/>
        <v>0.59791666666665433</v>
      </c>
      <c r="AX700" s="110"/>
      <c r="AY700" s="110"/>
      <c r="AZ700" s="110"/>
      <c r="BA700" s="110"/>
      <c r="BB700" s="110"/>
      <c r="BC700" s="110"/>
      <c r="BD700" s="110"/>
      <c r="BE700" s="110"/>
      <c r="BF700" s="110"/>
      <c r="BG700" s="110"/>
      <c r="BH700" s="110"/>
      <c r="BI700" s="110"/>
      <c r="BJ700" s="110"/>
      <c r="BK700" s="110"/>
      <c r="BL700" s="110"/>
      <c r="BM700" s="110"/>
      <c r="BN700" s="110"/>
      <c r="BO700" s="110"/>
      <c r="BP700" s="110"/>
      <c r="BQ700" s="110"/>
      <c r="BR700" s="110"/>
      <c r="BS700" s="110"/>
      <c r="BT700" s="110"/>
      <c r="BU700" s="110"/>
      <c r="BV700" s="110"/>
      <c r="BW700" s="110">
        <v>50.6</v>
      </c>
      <c r="BX700" s="116">
        <v>2694</v>
      </c>
      <c r="BY700" s="1054">
        <f t="shared" si="1054"/>
        <v>54</v>
      </c>
      <c r="BZ700" s="1054">
        <f t="shared" si="1055"/>
        <v>13.814814814814815</v>
      </c>
      <c r="CA700" s="116">
        <v>1404</v>
      </c>
      <c r="CB700" s="486">
        <f t="shared" si="990"/>
        <v>85552.734375</v>
      </c>
      <c r="CC700" s="208">
        <f t="shared" si="1056"/>
        <v>0</v>
      </c>
      <c r="CD700" s="208">
        <f t="shared" si="1057"/>
        <v>0</v>
      </c>
      <c r="CE700" s="230">
        <f t="shared" si="1061"/>
        <v>0</v>
      </c>
      <c r="CF700" s="110"/>
      <c r="CG700" s="208">
        <f>CC700/(AVERAGE(BY700,BY701)*AVERAGE((D$615,D$612,D$681,D$604,D$695,D$591,D$598,D$626,D$633,D$619))*0.01)</f>
        <v>0</v>
      </c>
      <c r="CH700" s="855">
        <f t="shared" si="1018"/>
        <v>0</v>
      </c>
      <c r="CI700" s="110"/>
      <c r="CJ700" s="110"/>
      <c r="CK700" s="110"/>
      <c r="CL700" s="110"/>
      <c r="CM700" s="110"/>
      <c r="CN700" s="932" t="s">
        <v>185</v>
      </c>
    </row>
    <row r="701" spans="1:92">
      <c r="A701" s="1034">
        <f t="shared" si="1010"/>
        <v>41856</v>
      </c>
      <c r="B701" s="1035">
        <f t="shared" si="1019"/>
        <v>0.33333333333333398</v>
      </c>
      <c r="C701" s="854">
        <f t="shared" si="1058"/>
        <v>24</v>
      </c>
      <c r="D701" s="110"/>
      <c r="E701" s="110"/>
      <c r="F701" s="110"/>
      <c r="G701" s="110"/>
      <c r="H701" s="110"/>
      <c r="I701" s="110"/>
      <c r="J701" s="110"/>
      <c r="K701" s="110"/>
      <c r="L701" s="110"/>
      <c r="M701" s="110">
        <v>55</v>
      </c>
      <c r="N701" s="110">
        <v>85</v>
      </c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  <c r="AA701" s="110"/>
      <c r="AB701" s="110"/>
      <c r="AC701" s="110"/>
      <c r="AD701" s="110"/>
      <c r="AE701" s="110"/>
      <c r="AF701" s="110"/>
      <c r="AG701" s="110"/>
      <c r="AH701" s="110"/>
      <c r="AI701" s="110"/>
      <c r="AJ701" s="110"/>
      <c r="AK701" s="110"/>
      <c r="AL701" s="110">
        <v>35.9</v>
      </c>
      <c r="AM701" s="116">
        <v>4368</v>
      </c>
      <c r="AN701" s="208">
        <f t="shared" si="1049"/>
        <v>38.880000000000003</v>
      </c>
      <c r="AO701" s="208">
        <f t="shared" si="1050"/>
        <v>36.342592592592588</v>
      </c>
      <c r="AP701" s="116">
        <v>2988</v>
      </c>
      <c r="AQ701" s="486">
        <f t="shared" si="1051"/>
        <v>179652.64687500001</v>
      </c>
      <c r="AR701" s="76">
        <f t="shared" si="1052"/>
        <v>905.203125</v>
      </c>
      <c r="AS701" s="230">
        <f t="shared" si="1053"/>
        <v>37.716796875</v>
      </c>
      <c r="AT701" s="208">
        <f t="shared" si="1059"/>
        <v>515.82279281901833</v>
      </c>
      <c r="AU701" s="110"/>
      <c r="AV701" s="230">
        <f t="shared" si="1060"/>
        <v>396.37886691384642</v>
      </c>
      <c r="AW701" s="855">
        <f t="shared" si="1014"/>
        <v>0.640625</v>
      </c>
      <c r="AX701" s="110"/>
      <c r="AY701" s="110"/>
      <c r="AZ701" s="110"/>
      <c r="BA701" s="110"/>
      <c r="BB701" s="110"/>
      <c r="BC701" s="110"/>
      <c r="BD701" s="110"/>
      <c r="BE701" s="110"/>
      <c r="BF701" s="110"/>
      <c r="BG701" s="110"/>
      <c r="BH701" s="110"/>
      <c r="BI701" s="110"/>
      <c r="BJ701" s="110"/>
      <c r="BK701" s="110"/>
      <c r="BL701" s="110"/>
      <c r="BM701" s="110"/>
      <c r="BN701" s="110"/>
      <c r="BO701" s="110"/>
      <c r="BP701" s="110"/>
      <c r="BQ701" s="110"/>
      <c r="BR701" s="110"/>
      <c r="BS701" s="110"/>
      <c r="BT701" s="110"/>
      <c r="BU701" s="110"/>
      <c r="BV701" s="110"/>
      <c r="BW701" s="110">
        <v>50.5</v>
      </c>
      <c r="BX701" s="116">
        <v>2710</v>
      </c>
      <c r="BY701" s="1054">
        <f t="shared" si="1054"/>
        <v>32</v>
      </c>
      <c r="BZ701" s="1054">
        <f t="shared" si="1055"/>
        <v>23.3125</v>
      </c>
      <c r="CA701" s="116">
        <v>1404</v>
      </c>
      <c r="CB701" s="486">
        <f t="shared" si="990"/>
        <v>85552.734375</v>
      </c>
      <c r="CC701" s="208">
        <f t="shared" si="1056"/>
        <v>0</v>
      </c>
      <c r="CD701" s="208">
        <f t="shared" si="1057"/>
        <v>0</v>
      </c>
      <c r="CE701" s="230">
        <f t="shared" si="1061"/>
        <v>0</v>
      </c>
      <c r="CF701" s="110"/>
      <c r="CG701" s="208">
        <f>CC701/(AVERAGE(BY701,BY702)*AVERAGE((D$615,D$612,D$681,D$604,D$695,D$591,D$598,D$626,D$633,D$619))*0.01)</f>
        <v>0</v>
      </c>
      <c r="CH701" s="855">
        <f t="shared" si="1018"/>
        <v>0</v>
      </c>
      <c r="CI701" s="110"/>
      <c r="CJ701" s="110"/>
      <c r="CK701" s="110"/>
      <c r="CL701" s="110"/>
      <c r="CM701" s="110"/>
      <c r="CN701" s="932" t="s">
        <v>185</v>
      </c>
    </row>
    <row r="702" spans="1:92" s="337" customFormat="1">
      <c r="A702" s="1034">
        <f t="shared" si="1010"/>
        <v>41857</v>
      </c>
      <c r="B702" s="1035">
        <f t="shared" si="1019"/>
        <v>0.33333333333333398</v>
      </c>
      <c r="C702" s="854">
        <f t="shared" si="1058"/>
        <v>24</v>
      </c>
      <c r="D702" s="442">
        <v>2.84</v>
      </c>
      <c r="E702" s="442">
        <v>80.62</v>
      </c>
      <c r="F702" s="442"/>
      <c r="G702" s="442">
        <v>6.91</v>
      </c>
      <c r="H702" s="442"/>
      <c r="I702" s="442"/>
      <c r="J702" s="442"/>
      <c r="K702" s="442"/>
      <c r="L702" s="442"/>
      <c r="M702" s="442"/>
      <c r="N702" s="442"/>
      <c r="O702" s="442"/>
      <c r="P702" s="442"/>
      <c r="Q702" s="442"/>
      <c r="R702" s="442"/>
      <c r="S702" s="442"/>
      <c r="T702" s="442"/>
      <c r="U702" s="442"/>
      <c r="V702" s="442">
        <v>2.0299999999999998</v>
      </c>
      <c r="W702" s="442">
        <v>67.349999999999994</v>
      </c>
      <c r="X702" s="442"/>
      <c r="Y702" s="442"/>
      <c r="Z702" s="442"/>
      <c r="AA702" s="442"/>
      <c r="AB702" s="442"/>
      <c r="AC702" s="442"/>
      <c r="AD702" s="1021">
        <f>D695*(100-E695)/(100-W702)</f>
        <v>1.6398039816232775</v>
      </c>
      <c r="AE702" s="1055">
        <f>D695-V702</f>
        <v>0.71000000000000041</v>
      </c>
      <c r="AF702" s="847">
        <f>100*(AVERAGE(D$615,D$612,D$681,D$604,D$695,D$702,D$598,D$626,D$633,D$619)-V702)/AVERAGE(D$615,D$612,D$681,D$604,D$695,D$702,D$598,D$626,D$633,D$619)</f>
        <v>35.75949367088608</v>
      </c>
      <c r="AG702" s="847">
        <f>100*(1-((100-AVERAGE(E$615,E$612,E$681,E$604,E$695,E$702,E$598,E$626,E$633,E$619))/(100-W702)))</f>
        <v>29.880551301684534</v>
      </c>
      <c r="AH702" s="1055">
        <f>E695-W702</f>
        <v>13.11</v>
      </c>
      <c r="AI702" s="847">
        <f>100*(1-((V702*W702)/(AVERAGE(D$615,D$612,D$681,D$604,D$695,D$702,D$598,D$626,D$633,D$619)*AVERAGE(E$615,E$612,E$681,E$604,E$695,E$702,E$598,E$626,E$633,E$619))))</f>
        <v>43.887659828472202</v>
      </c>
      <c r="AJ702" s="847">
        <f>100*100*((AVERAGE(E$615,E$612,E$681,E$604,E$695,E$702,E$598,E$626,E$633,E$619)-W702)/((100-W702)*AVERAGE(E$615,E$612,E$681,E$604,E$695,E$702,E$598,E$626,E$633,E$619)))</f>
        <v>38.752563097144879</v>
      </c>
      <c r="AK702" s="442">
        <v>7.22</v>
      </c>
      <c r="AL702" s="442">
        <v>35.6</v>
      </c>
      <c r="AM702" s="442">
        <v>4417</v>
      </c>
      <c r="AN702" s="208">
        <f t="shared" ref="AN702:AN714" si="1062">(AM702-AM701)*AQ$1/((C701)/24)</f>
        <v>105.84</v>
      </c>
      <c r="AO702" s="208">
        <f t="shared" ref="AO702:AO714" si="1063">AQ$3/AN702</f>
        <v>13.350340136054422</v>
      </c>
      <c r="AP702" s="442">
        <v>3008</v>
      </c>
      <c r="AQ702" s="486">
        <f t="shared" si="1051"/>
        <v>180859.58437500001</v>
      </c>
      <c r="AR702" s="76">
        <f t="shared" ref="AR702:AR714" si="1064">(AQ702-AQ701)/(C702/24)</f>
        <v>1206.9375</v>
      </c>
      <c r="AS702" s="230">
        <f t="shared" ref="AS702:AS714" si="1065">(AQ702-AQ701)/C702</f>
        <v>50.2890625</v>
      </c>
      <c r="AT702" s="208">
        <f>AR702/(AVERAGE(AN702,AN703)*(AVERAGE(D$615,D$612,D$681,D$604,D$695,D$702,D$598,D$626,D$633,D$619))*AVERAGE(E$615,E$612,E$681,E$604,E$695,E$702,E$598,E$626,E$633,E$619)*0.0001)</f>
        <v>899.32277733106946</v>
      </c>
      <c r="AU702" s="597">
        <f>(AQ702-AQ696)/(AVERAGE(AN696:AN702)*((AVERAGE(D$615,D$612,D$681,D$604,D$695,D$702,D$598,D$626,D$633,D$619)*AVERAGE(E$615,E$612,E$681,E$604,E$695,E$702,E$598,E$626,E$633,E$619))-(V702*W702))*0.0001*(SUM(C696:C702)/24))</f>
        <v>1220.9931454434018</v>
      </c>
      <c r="AV702" s="230">
        <f>AR702/(AVERAGE(AN703,AN702)*AVERAGE(D$615,D$612,D$681,D$604,D$695,D$702,D$598,D$626,D$633,D$619)*0.01)</f>
        <v>693.4318206888945</v>
      </c>
      <c r="AW702" s="855">
        <f t="shared" si="1014"/>
        <v>0.85416666666666663</v>
      </c>
      <c r="AX702" s="442">
        <v>72.900000000000006</v>
      </c>
      <c r="AY702" s="442">
        <v>27</v>
      </c>
      <c r="AZ702" s="442">
        <v>0</v>
      </c>
      <c r="BA702" s="442">
        <v>11</v>
      </c>
      <c r="BB702" s="442">
        <v>45</v>
      </c>
      <c r="BC702" s="442"/>
      <c r="BD702" s="442"/>
      <c r="BE702" s="442"/>
      <c r="BF702" s="442"/>
      <c r="BG702" s="442">
        <v>2.21</v>
      </c>
      <c r="BH702" s="442">
        <v>65.650000000000006</v>
      </c>
      <c r="BI702" s="442"/>
      <c r="BJ702" s="442"/>
      <c r="BK702" s="442"/>
      <c r="BL702" s="442"/>
      <c r="BM702" s="442"/>
      <c r="BN702" s="442"/>
      <c r="BO702" s="847">
        <f>D695*(100-E695)/(100-BH702)</f>
        <v>1.5586491994177591</v>
      </c>
      <c r="BP702" s="1055">
        <f>D695-BG702</f>
        <v>0.53000000000000025</v>
      </c>
      <c r="BQ702" s="1056">
        <f>100*(AVERAGE(D$615,D$612,D$681,D$604,D$695,D$702,D$598,D$626,D$633,D$619)-BG702)/AVERAGE(D$615,D$612,D$681,D$604,D$695,D$702,D$598,D$626,D$633,D$619)</f>
        <v>30.063291139240508</v>
      </c>
      <c r="BR702" s="1056">
        <f>100*(1-((100-AVERAGE(E$615,E$612,E$681,E$604,E$695,E$702,E$598,E$626,E$633,E$619))/(100-BH702)))</f>
        <v>33.350800582241604</v>
      </c>
      <c r="BS702" s="1055">
        <f>E695-BH702</f>
        <v>14.809999999999988</v>
      </c>
      <c r="BT702" s="1055">
        <f>100*(1-((BG702*BH702)/(AVERAGE(D$615,D$612,D$681,D$604,D$695,D$702,D$598,D$626,D$633,D$619)*AVERAGE(E$615,E$612,E$681,E$604,E$695,E$702,E$598,E$626,E$633,E$619))))</f>
        <v>40.45411593509116</v>
      </c>
      <c r="BU702" s="847">
        <f>100*100*((AVERAGE(E$615,E$612,E$681,E$604,E$695,E$702,E$598,E$626,E$633,E$619)-BH702)/((100-BH702)*AVERAGE(E$615,E$612,E$681,E$604,E$695,E$702,E$598,E$626,E$633,E$619)))</f>
        <v>43.253184683736166</v>
      </c>
      <c r="BV702" s="442">
        <v>7.4</v>
      </c>
      <c r="BW702" s="442">
        <v>50.5</v>
      </c>
      <c r="BX702" s="442">
        <v>2726</v>
      </c>
      <c r="BY702" s="1054">
        <f t="shared" ref="BY702:BY714" si="1066">(BX702-BX701)*CB$1/((C702)/24)</f>
        <v>32</v>
      </c>
      <c r="BZ702" s="1054">
        <f t="shared" ref="BZ702:BZ714" si="1067">CB$3/BY702</f>
        <v>23.3125</v>
      </c>
      <c r="CA702" s="442">
        <v>1404</v>
      </c>
      <c r="CB702" s="1072">
        <f t="shared" si="990"/>
        <v>85552.734375</v>
      </c>
      <c r="CC702" s="208">
        <f t="shared" ref="CC702:CC714" si="1068">(CB702-CB701)/((C702/24))</f>
        <v>0</v>
      </c>
      <c r="CD702" s="208">
        <f t="shared" ref="CD702:CD714" si="1069">(CB702-CB701)/(C702)</f>
        <v>0</v>
      </c>
      <c r="CE702" s="230">
        <f>CC702/(AVERAGE(BY703,BY702)*(AVERAGE(D$615,D$612,D$681,D$604,D$695,D$702,D$598,D$626,D$633,D$619))*AVERAGE(E$615,E$612,E$681,E$604,E$695,E$702,E$598,E$626,E$633,E$619)*0.0001)</f>
        <v>0</v>
      </c>
      <c r="CF702" s="334">
        <f>(CB702-CB696)/(AVERAGE(BY696:BY702)*((AVERAGE(D$615,D$612,D$681,D$604,D$695,D$702,D$598,D$626,D$633,D$619)*AVERAGE(E$615,E$612,E$681,E$604,E$695,E$702,E$598,E$626,E$633,E$619))-(BG702*BH702))*0.0001*(SUM(C696:C702)/24))</f>
        <v>0</v>
      </c>
      <c r="CG702" s="208">
        <f>CC702/(AVERAGE(BY702,BY703)*AVERAGE((D$615,D$612,D$681,D$604,D$695,D$702,D$598,D$626,D$633,D$619))*0.01)</f>
        <v>0</v>
      </c>
      <c r="CH702" s="855">
        <f t="shared" si="1018"/>
        <v>0</v>
      </c>
      <c r="CI702" s="442">
        <v>71</v>
      </c>
      <c r="CJ702" s="442">
        <v>28.9</v>
      </c>
      <c r="CK702" s="442">
        <v>0</v>
      </c>
      <c r="CL702" s="442">
        <v>39</v>
      </c>
      <c r="CM702" s="442">
        <v>160</v>
      </c>
      <c r="CN702" s="932" t="s">
        <v>186</v>
      </c>
    </row>
    <row r="703" spans="1:92">
      <c r="A703" s="1034">
        <f t="shared" si="1010"/>
        <v>41858</v>
      </c>
      <c r="B703" s="1035">
        <f t="shared" si="1019"/>
        <v>0.33333333333333398</v>
      </c>
      <c r="C703" s="854">
        <f t="shared" ref="C703:C715" si="1070">((A703-A702)+(B703-B702))*24</f>
        <v>24</v>
      </c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  <c r="AA703" s="110"/>
      <c r="AB703" s="110"/>
      <c r="AC703" s="110"/>
      <c r="AD703" s="110"/>
      <c r="AE703" s="110"/>
      <c r="AF703" s="110"/>
      <c r="AG703" s="110"/>
      <c r="AH703" s="110"/>
      <c r="AI703" s="110"/>
      <c r="AJ703" s="110"/>
      <c r="AK703" s="110"/>
      <c r="AL703" s="110">
        <v>35.9</v>
      </c>
      <c r="AM703" s="110">
        <v>4419</v>
      </c>
      <c r="AN703" s="208">
        <f t="shared" si="1062"/>
        <v>4.32</v>
      </c>
      <c r="AO703" s="208">
        <f t="shared" si="1063"/>
        <v>327.08333333333331</v>
      </c>
      <c r="AP703" s="110">
        <v>3021</v>
      </c>
      <c r="AQ703" s="486">
        <f t="shared" si="1051"/>
        <v>181644.09375</v>
      </c>
      <c r="AR703" s="76">
        <f t="shared" si="1064"/>
        <v>784.50937499999418</v>
      </c>
      <c r="AS703" s="230">
        <f t="shared" si="1065"/>
        <v>32.68789062499976</v>
      </c>
      <c r="AT703" s="208">
        <f t="shared" ref="AT703:AT708" si="1071">AR703/(AVERAGE(AN703,AN704)*(AVERAGE(D$615,D$612,D$681,D$604,D$695,D$702,D$598,D$626,D$633,D$619))*AVERAGE(E$615,E$612,E$681,E$604,E$695,E$702,E$598,E$626,E$633,E$619)*0.0001)</f>
        <v>532.36696550937017</v>
      </c>
      <c r="AU703" s="110"/>
      <c r="AV703" s="230">
        <f t="shared" ref="AV703:AV708" si="1072">AR703/(AVERAGE(AN704,AN703)*AVERAGE(D$615,D$612,D$681,D$604,D$695,D$702,D$598,D$626,D$633,D$619)*0.01)</f>
        <v>410.48687242565495</v>
      </c>
      <c r="AW703" s="855">
        <f t="shared" si="1014"/>
        <v>0.5552083333333292</v>
      </c>
      <c r="AX703" s="110"/>
      <c r="AY703" s="110"/>
      <c r="AZ703" s="110"/>
      <c r="BA703" s="110"/>
      <c r="BB703" s="110"/>
      <c r="BC703" s="110"/>
      <c r="BD703" s="110"/>
      <c r="BE703" s="110"/>
      <c r="BF703" s="110"/>
      <c r="BG703" s="110"/>
      <c r="BH703" s="110"/>
      <c r="BI703" s="110"/>
      <c r="BJ703" s="110"/>
      <c r="BK703" s="110"/>
      <c r="BL703" s="110"/>
      <c r="BM703" s="110"/>
      <c r="BN703" s="110"/>
      <c r="BO703" s="110"/>
      <c r="BP703" s="110"/>
      <c r="BQ703" s="110"/>
      <c r="BR703" s="110"/>
      <c r="BS703" s="110"/>
      <c r="BT703" s="110"/>
      <c r="BU703" s="110"/>
      <c r="BV703" s="110"/>
      <c r="BW703" s="110">
        <v>50.7</v>
      </c>
      <c r="BX703" s="110">
        <v>2742</v>
      </c>
      <c r="BY703" s="1054">
        <f t="shared" si="1066"/>
        <v>32</v>
      </c>
      <c r="BZ703" s="1054">
        <f t="shared" si="1067"/>
        <v>23.3125</v>
      </c>
      <c r="CA703" s="110">
        <v>1412</v>
      </c>
      <c r="CB703" s="486">
        <f t="shared" si="990"/>
        <v>86043.359375</v>
      </c>
      <c r="CC703" s="208">
        <f t="shared" si="1068"/>
        <v>490.625</v>
      </c>
      <c r="CD703" s="208">
        <f t="shared" si="1069"/>
        <v>20.442708333333332</v>
      </c>
      <c r="CE703" s="230">
        <f t="shared" ref="CE703:CE708" si="1073">CC703/(AVERAGE(BY704,BY703)*(AVERAGE(D$615,D$612,D$681,D$604,D$695,D$702,D$598,D$626,D$633,D$619))*AVERAGE(E$615,E$612,E$681,E$604,E$695,E$702,E$598,E$626,E$633,E$619)*0.0001)</f>
        <v>629.25176035817208</v>
      </c>
      <c r="CF703" s="110"/>
      <c r="CG703" s="208">
        <f>CC703/(AVERAGE(BY703,BY704)*AVERAGE((D$615,D$612,D$681,D$604,D$695,D$702,D$598,D$626,D$633,D$619))*0.01)</f>
        <v>485.19086234177212</v>
      </c>
      <c r="CH703" s="855">
        <f t="shared" si="1018"/>
        <v>0.6576742627345844</v>
      </c>
      <c r="CI703" s="110"/>
      <c r="CJ703" s="110"/>
      <c r="CK703" s="110"/>
      <c r="CL703" s="110"/>
      <c r="CM703" s="110"/>
      <c r="CN703" s="110"/>
    </row>
    <row r="704" spans="1:92">
      <c r="A704" s="1034">
        <f t="shared" si="1010"/>
        <v>41859</v>
      </c>
      <c r="B704" s="1035">
        <f t="shared" si="1019"/>
        <v>0.33333333333333398</v>
      </c>
      <c r="C704" s="854">
        <f t="shared" si="1070"/>
        <v>24</v>
      </c>
      <c r="D704" s="110"/>
      <c r="E704" s="110"/>
      <c r="F704" s="110"/>
      <c r="G704" s="110"/>
      <c r="H704" s="110"/>
      <c r="I704" s="110"/>
      <c r="J704" s="110"/>
      <c r="K704" s="110"/>
      <c r="L704" s="110"/>
      <c r="M704" s="110">
        <v>40</v>
      </c>
      <c r="N704" s="110">
        <v>85</v>
      </c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  <c r="AA704" s="110"/>
      <c r="AB704" s="110"/>
      <c r="AC704" s="110"/>
      <c r="AD704" s="110"/>
      <c r="AE704" s="110"/>
      <c r="AF704" s="110"/>
      <c r="AG704" s="110"/>
      <c r="AH704" s="110"/>
      <c r="AI704" s="110"/>
      <c r="AJ704" s="110"/>
      <c r="AK704" s="110"/>
      <c r="AL704" s="110">
        <v>35.799999999999997</v>
      </c>
      <c r="AM704" s="110">
        <v>4473</v>
      </c>
      <c r="AN704" s="208">
        <f t="shared" si="1062"/>
        <v>116.64000000000001</v>
      </c>
      <c r="AO704" s="208">
        <f t="shared" si="1063"/>
        <v>12.114197530864196</v>
      </c>
      <c r="AP704" s="110">
        <v>3041</v>
      </c>
      <c r="AQ704" s="486">
        <f t="shared" si="1051"/>
        <v>182851.03125</v>
      </c>
      <c r="AR704" s="76">
        <f t="shared" si="1064"/>
        <v>1206.9375</v>
      </c>
      <c r="AS704" s="230">
        <f t="shared" si="1065"/>
        <v>50.2890625</v>
      </c>
      <c r="AT704" s="208">
        <f t="shared" si="1071"/>
        <v>559.33489809615298</v>
      </c>
      <c r="AU704" s="110"/>
      <c r="AV704" s="230">
        <f t="shared" si="1072"/>
        <v>431.2807665260197</v>
      </c>
      <c r="AW704" s="855">
        <f t="shared" si="1014"/>
        <v>0.85416666666666663</v>
      </c>
      <c r="AX704" s="110"/>
      <c r="AY704" s="110"/>
      <c r="AZ704" s="110"/>
      <c r="BA704" s="110"/>
      <c r="BB704" s="110"/>
      <c r="BC704" s="110"/>
      <c r="BD704" s="110"/>
      <c r="BE704" s="110"/>
      <c r="BF704" s="110"/>
      <c r="BG704" s="110"/>
      <c r="BH704" s="110"/>
      <c r="BI704" s="110"/>
      <c r="BJ704" s="110"/>
      <c r="BK704" s="110"/>
      <c r="BL704" s="110"/>
      <c r="BM704" s="110"/>
      <c r="BN704" s="110"/>
      <c r="BO704" s="110"/>
      <c r="BP704" s="110"/>
      <c r="BQ704" s="110"/>
      <c r="BR704" s="110"/>
      <c r="BS704" s="110"/>
      <c r="BT704" s="110"/>
      <c r="BU704" s="110"/>
      <c r="BV704" s="110"/>
      <c r="BW704" s="110">
        <v>50.7</v>
      </c>
      <c r="BX704" s="110">
        <v>2758</v>
      </c>
      <c r="BY704" s="1054">
        <f t="shared" si="1066"/>
        <v>32</v>
      </c>
      <c r="BZ704" s="1054">
        <f t="shared" si="1067"/>
        <v>23.3125</v>
      </c>
      <c r="CA704" s="110">
        <v>1420</v>
      </c>
      <c r="CB704" s="486">
        <f t="shared" si="990"/>
        <v>86533.984375</v>
      </c>
      <c r="CC704" s="208">
        <f t="shared" si="1068"/>
        <v>490.625</v>
      </c>
      <c r="CD704" s="208">
        <f t="shared" si="1069"/>
        <v>20.442708333333332</v>
      </c>
      <c r="CE704" s="230">
        <f t="shared" si="1073"/>
        <v>629.25176035817208</v>
      </c>
      <c r="CF704" s="110"/>
      <c r="CG704" s="208">
        <f>CC704/(AVERAGE(BY704,BY705)*AVERAGE((D$615,D$612,D$681,D$604,D$695,D$702,D$598,D$626,D$633,D$619))*0.01)</f>
        <v>485.19086234177212</v>
      </c>
      <c r="CH704" s="855">
        <f t="shared" si="1018"/>
        <v>0.6576742627345844</v>
      </c>
      <c r="CI704" s="110"/>
      <c r="CJ704" s="110"/>
      <c r="CK704" s="110"/>
      <c r="CL704" s="110"/>
      <c r="CM704" s="110"/>
      <c r="CN704" s="110"/>
    </row>
    <row r="705" spans="1:92">
      <c r="A705" s="1034">
        <f t="shared" si="1010"/>
        <v>41860</v>
      </c>
      <c r="B705" s="1035">
        <f t="shared" si="1019"/>
        <v>0.33333333333333398</v>
      </c>
      <c r="C705" s="854">
        <f t="shared" si="1070"/>
        <v>24</v>
      </c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  <c r="AA705" s="110"/>
      <c r="AB705" s="110"/>
      <c r="AC705" s="110"/>
      <c r="AD705" s="110"/>
      <c r="AE705" s="110"/>
      <c r="AF705" s="110"/>
      <c r="AG705" s="110"/>
      <c r="AH705" s="110"/>
      <c r="AI705" s="110"/>
      <c r="AJ705" s="110"/>
      <c r="AK705" s="110"/>
      <c r="AL705" s="110">
        <v>35.799999999999997</v>
      </c>
      <c r="AM705" s="110">
        <v>4501</v>
      </c>
      <c r="AN705" s="208">
        <f t="shared" si="1062"/>
        <v>60.480000000000004</v>
      </c>
      <c r="AO705" s="208">
        <f t="shared" si="1063"/>
        <v>23.363095238095237</v>
      </c>
      <c r="AP705" s="110">
        <v>3059</v>
      </c>
      <c r="AQ705" s="486">
        <f t="shared" si="1051"/>
        <v>183937.27500000002</v>
      </c>
      <c r="AR705" s="76">
        <f t="shared" si="1064"/>
        <v>1086.2437500000233</v>
      </c>
      <c r="AS705" s="230">
        <f t="shared" si="1065"/>
        <v>45.260156250000968</v>
      </c>
      <c r="AT705" s="208">
        <f t="shared" si="1071"/>
        <v>737.12349070530297</v>
      </c>
      <c r="AU705" s="110"/>
      <c r="AV705" s="230">
        <f t="shared" si="1072"/>
        <v>568.3664387432309</v>
      </c>
      <c r="AW705" s="855">
        <f t="shared" si="1014"/>
        <v>0.76875000000001648</v>
      </c>
      <c r="AX705" s="110"/>
      <c r="AY705" s="110"/>
      <c r="AZ705" s="110"/>
      <c r="BA705" s="110"/>
      <c r="BB705" s="110"/>
      <c r="BC705" s="110"/>
      <c r="BD705" s="110"/>
      <c r="BE705" s="110"/>
      <c r="BF705" s="110"/>
      <c r="BG705" s="110"/>
      <c r="BH705" s="110"/>
      <c r="BI705" s="110"/>
      <c r="BJ705" s="110"/>
      <c r="BK705" s="110"/>
      <c r="BL705" s="110"/>
      <c r="BM705" s="110"/>
      <c r="BN705" s="110"/>
      <c r="BO705" s="110"/>
      <c r="BP705" s="110"/>
      <c r="BQ705" s="110"/>
      <c r="BR705" s="110"/>
      <c r="BS705" s="110"/>
      <c r="BT705" s="110"/>
      <c r="BU705" s="110"/>
      <c r="BV705" s="110"/>
      <c r="BW705" s="110">
        <v>50.6</v>
      </c>
      <c r="BX705" s="110">
        <v>2774</v>
      </c>
      <c r="BY705" s="1054">
        <f t="shared" si="1066"/>
        <v>32</v>
      </c>
      <c r="BZ705" s="1054">
        <f t="shared" si="1067"/>
        <v>23.3125</v>
      </c>
      <c r="CA705" s="110">
        <v>1428</v>
      </c>
      <c r="CB705" s="486">
        <f t="shared" si="990"/>
        <v>87024.609375</v>
      </c>
      <c r="CC705" s="208">
        <f t="shared" si="1068"/>
        <v>490.625</v>
      </c>
      <c r="CD705" s="208">
        <f t="shared" si="1069"/>
        <v>20.442708333333332</v>
      </c>
      <c r="CE705" s="230">
        <f t="shared" si="1073"/>
        <v>629.25176035817208</v>
      </c>
      <c r="CF705" s="110"/>
      <c r="CG705" s="208">
        <f>CC705/(AVERAGE(BY705,BY706)*AVERAGE((D$615,D$612,D$681,D$604,D$695,D$702,D$598,D$626,D$633,D$619))*0.01)</f>
        <v>485.19086234177212</v>
      </c>
      <c r="CH705" s="855">
        <f t="shared" si="1018"/>
        <v>0.6576742627345844</v>
      </c>
      <c r="CI705" s="110"/>
      <c r="CJ705" s="110"/>
      <c r="CK705" s="110"/>
      <c r="CL705" s="110"/>
      <c r="CM705" s="110"/>
      <c r="CN705" s="110"/>
    </row>
    <row r="706" spans="1:92">
      <c r="A706" s="1034">
        <f t="shared" si="1010"/>
        <v>41861</v>
      </c>
      <c r="B706" s="1035">
        <f t="shared" si="1019"/>
        <v>0.33333333333333398</v>
      </c>
      <c r="C706" s="854">
        <f t="shared" si="1070"/>
        <v>24</v>
      </c>
      <c r="D706" s="110"/>
      <c r="E706" s="110"/>
      <c r="F706" s="110"/>
      <c r="G706" s="110"/>
      <c r="H706" s="110"/>
      <c r="I706" s="110"/>
      <c r="J706" s="110"/>
      <c r="K706" s="110"/>
      <c r="L706" s="110"/>
      <c r="M706" s="110">
        <v>50</v>
      </c>
      <c r="N706" s="110">
        <v>85</v>
      </c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  <c r="AA706" s="110"/>
      <c r="AB706" s="110"/>
      <c r="AC706" s="110"/>
      <c r="AD706" s="110"/>
      <c r="AE706" s="110"/>
      <c r="AF706" s="110"/>
      <c r="AG706" s="110"/>
      <c r="AH706" s="110"/>
      <c r="AI706" s="110"/>
      <c r="AJ706" s="110"/>
      <c r="AK706" s="110"/>
      <c r="AL706" s="110">
        <v>35.4</v>
      </c>
      <c r="AM706" s="110">
        <v>4529</v>
      </c>
      <c r="AN706" s="208">
        <f t="shared" si="1062"/>
        <v>60.480000000000004</v>
      </c>
      <c r="AO706" s="208">
        <f t="shared" si="1063"/>
        <v>23.363095238095237</v>
      </c>
      <c r="AP706" s="110">
        <v>3072</v>
      </c>
      <c r="AQ706" s="486">
        <f t="shared" si="1051"/>
        <v>184721.78437500002</v>
      </c>
      <c r="AR706" s="76">
        <f t="shared" si="1064"/>
        <v>784.50937499999418</v>
      </c>
      <c r="AS706" s="230">
        <f t="shared" si="1065"/>
        <v>32.68789062499976</v>
      </c>
      <c r="AT706" s="208">
        <f t="shared" si="1071"/>
        <v>532.36696550937017</v>
      </c>
      <c r="AU706" s="110"/>
      <c r="AV706" s="230">
        <f t="shared" si="1072"/>
        <v>410.48687242565495</v>
      </c>
      <c r="AW706" s="855">
        <f t="shared" si="1014"/>
        <v>0.5552083333333292</v>
      </c>
      <c r="AX706" s="110"/>
      <c r="AY706" s="110"/>
      <c r="AZ706" s="110"/>
      <c r="BA706" s="110"/>
      <c r="BB706" s="110"/>
      <c r="BC706" s="110"/>
      <c r="BD706" s="110"/>
      <c r="BE706" s="110"/>
      <c r="BF706" s="110"/>
      <c r="BG706" s="110"/>
      <c r="BH706" s="110"/>
      <c r="BI706" s="110"/>
      <c r="BJ706" s="110"/>
      <c r="BK706" s="110"/>
      <c r="BL706" s="110"/>
      <c r="BM706" s="110"/>
      <c r="BN706" s="110"/>
      <c r="BO706" s="110"/>
      <c r="BP706" s="110"/>
      <c r="BQ706" s="110"/>
      <c r="BR706" s="110"/>
      <c r="BS706" s="110"/>
      <c r="BT706" s="110"/>
      <c r="BU706" s="110"/>
      <c r="BV706" s="110"/>
      <c r="BW706" s="110">
        <v>50.5</v>
      </c>
      <c r="BX706" s="110">
        <v>2790</v>
      </c>
      <c r="BY706" s="1054">
        <f t="shared" si="1066"/>
        <v>32</v>
      </c>
      <c r="BZ706" s="1054">
        <f t="shared" si="1067"/>
        <v>23.3125</v>
      </c>
      <c r="CA706" s="110">
        <v>1433</v>
      </c>
      <c r="CB706" s="486">
        <f t="shared" si="990"/>
        <v>87331.25</v>
      </c>
      <c r="CC706" s="208">
        <f t="shared" si="1068"/>
        <v>306.640625</v>
      </c>
      <c r="CD706" s="208">
        <f t="shared" si="1069"/>
        <v>12.776692708333334</v>
      </c>
      <c r="CE706" s="230">
        <f t="shared" si="1073"/>
        <v>393.28235022385752</v>
      </c>
      <c r="CF706" s="110"/>
      <c r="CG706" s="208">
        <f>CC706/(AVERAGE(BY706,BY707)*AVERAGE((D$615,D$612,D$681,D$604,D$695,D$702,D$598,D$626,D$633,D$619))*0.01)</f>
        <v>303.24428896360757</v>
      </c>
      <c r="CH706" s="855">
        <f t="shared" si="1018"/>
        <v>0.41104641420911531</v>
      </c>
      <c r="CI706" s="110"/>
      <c r="CJ706" s="110"/>
      <c r="CK706" s="110"/>
      <c r="CL706" s="110"/>
      <c r="CM706" s="110"/>
      <c r="CN706" s="110"/>
    </row>
    <row r="707" spans="1:92">
      <c r="A707" s="1034">
        <f t="shared" si="1010"/>
        <v>41862</v>
      </c>
      <c r="B707" s="1035">
        <f t="shared" si="1019"/>
        <v>0.33333333333333398</v>
      </c>
      <c r="C707" s="854">
        <f t="shared" si="1070"/>
        <v>24</v>
      </c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  <c r="AA707" s="110"/>
      <c r="AB707" s="110"/>
      <c r="AC707" s="110"/>
      <c r="AD707" s="110"/>
      <c r="AE707" s="110"/>
      <c r="AF707" s="110"/>
      <c r="AG707" s="110"/>
      <c r="AH707" s="110"/>
      <c r="AI707" s="110"/>
      <c r="AJ707" s="110"/>
      <c r="AK707" s="110"/>
      <c r="AL707" s="110">
        <v>35.9</v>
      </c>
      <c r="AM707" s="110">
        <v>4557</v>
      </c>
      <c r="AN707" s="208">
        <f t="shared" si="1062"/>
        <v>60.480000000000004</v>
      </c>
      <c r="AO707" s="208">
        <f t="shared" si="1063"/>
        <v>23.363095238095237</v>
      </c>
      <c r="AP707" s="110">
        <v>3083</v>
      </c>
      <c r="AQ707" s="486">
        <f t="shared" si="1051"/>
        <v>185385.60000000001</v>
      </c>
      <c r="AR707" s="76">
        <f t="shared" si="1064"/>
        <v>663.81562499998836</v>
      </c>
      <c r="AS707" s="230">
        <f t="shared" si="1065"/>
        <v>27.658984374999516</v>
      </c>
      <c r="AT707" s="208">
        <f t="shared" si="1071"/>
        <v>450.46435543100097</v>
      </c>
      <c r="AU707" s="110"/>
      <c r="AV707" s="230">
        <f t="shared" si="1072"/>
        <v>347.33504589862758</v>
      </c>
      <c r="AW707" s="855">
        <f t="shared" si="1014"/>
        <v>0.46979166666665845</v>
      </c>
      <c r="AX707" s="110"/>
      <c r="AY707" s="110"/>
      <c r="AZ707" s="110"/>
      <c r="BA707" s="110"/>
      <c r="BB707" s="110"/>
      <c r="BC707" s="110"/>
      <c r="BD707" s="110"/>
      <c r="BE707" s="110"/>
      <c r="BF707" s="110"/>
      <c r="BG707" s="110"/>
      <c r="BH707" s="110"/>
      <c r="BI707" s="110"/>
      <c r="BJ707" s="110"/>
      <c r="BK707" s="110"/>
      <c r="BL707" s="110"/>
      <c r="BM707" s="110"/>
      <c r="BN707" s="110"/>
      <c r="BO707" s="110"/>
      <c r="BP707" s="110"/>
      <c r="BQ707" s="110"/>
      <c r="BR707" s="110"/>
      <c r="BS707" s="110"/>
      <c r="BT707" s="110"/>
      <c r="BU707" s="110"/>
      <c r="BV707" s="110"/>
      <c r="BW707" s="110">
        <v>50.5</v>
      </c>
      <c r="BX707" s="110">
        <v>2806</v>
      </c>
      <c r="BY707" s="1054">
        <f t="shared" si="1066"/>
        <v>32</v>
      </c>
      <c r="BZ707" s="1054">
        <f t="shared" si="1067"/>
        <v>23.3125</v>
      </c>
      <c r="CA707" s="110">
        <v>1438</v>
      </c>
      <c r="CB707" s="486">
        <f t="shared" si="990"/>
        <v>87637.890625</v>
      </c>
      <c r="CC707" s="208">
        <f t="shared" si="1068"/>
        <v>306.640625</v>
      </c>
      <c r="CD707" s="208">
        <f t="shared" si="1069"/>
        <v>12.776692708333334</v>
      </c>
      <c r="CE707" s="230">
        <f t="shared" si="1073"/>
        <v>393.28235022385752</v>
      </c>
      <c r="CF707" s="110"/>
      <c r="CG707" s="208">
        <f>CC707/(AVERAGE(BY707,BY708)*AVERAGE((D$615,D$612,D$681,D$604,D$695,D$702,D$598,D$626,D$633,D$619))*0.01)</f>
        <v>303.24428896360757</v>
      </c>
      <c r="CH707" s="855">
        <f t="shared" si="1018"/>
        <v>0.41104641420911531</v>
      </c>
      <c r="CI707" s="110"/>
      <c r="CJ707" s="110"/>
      <c r="CK707" s="110"/>
      <c r="CL707" s="110"/>
      <c r="CM707" s="110"/>
      <c r="CN707" s="110"/>
    </row>
    <row r="708" spans="1:92">
      <c r="A708" s="1034">
        <f t="shared" si="1010"/>
        <v>41863</v>
      </c>
      <c r="B708" s="1035">
        <f t="shared" si="1019"/>
        <v>0.33333333333333398</v>
      </c>
      <c r="C708" s="854">
        <f t="shared" si="1070"/>
        <v>24</v>
      </c>
      <c r="D708" s="110"/>
      <c r="E708" s="110"/>
      <c r="F708" s="110"/>
      <c r="G708" s="110"/>
      <c r="H708" s="110"/>
      <c r="I708" s="110"/>
      <c r="J708" s="110"/>
      <c r="K708" s="110"/>
      <c r="L708" s="110"/>
      <c r="M708" s="110">
        <v>50</v>
      </c>
      <c r="N708" s="110">
        <v>85</v>
      </c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  <c r="AA708" s="110"/>
      <c r="AB708" s="110"/>
      <c r="AC708" s="110"/>
      <c r="AD708" s="110"/>
      <c r="AE708" s="110"/>
      <c r="AF708" s="110"/>
      <c r="AG708" s="110"/>
      <c r="AH708" s="110"/>
      <c r="AI708" s="110"/>
      <c r="AJ708" s="110"/>
      <c r="AK708" s="110"/>
      <c r="AL708" s="110">
        <v>35.700000000000003</v>
      </c>
      <c r="AM708" s="110">
        <v>4585</v>
      </c>
      <c r="AN708" s="208">
        <f t="shared" si="1062"/>
        <v>60.480000000000004</v>
      </c>
      <c r="AO708" s="208">
        <f t="shared" si="1063"/>
        <v>23.363095238095237</v>
      </c>
      <c r="AP708" s="110">
        <v>3094</v>
      </c>
      <c r="AQ708" s="486">
        <f t="shared" si="1051"/>
        <v>186049.41562500002</v>
      </c>
      <c r="AR708" s="76">
        <f t="shared" si="1064"/>
        <v>663.81562500001746</v>
      </c>
      <c r="AS708" s="230">
        <f t="shared" si="1065"/>
        <v>27.658984375000728</v>
      </c>
      <c r="AT708" s="208">
        <f t="shared" si="1071"/>
        <v>450.46435543102069</v>
      </c>
      <c r="AU708" s="110"/>
      <c r="AV708" s="230">
        <f t="shared" si="1072"/>
        <v>347.33504589864282</v>
      </c>
      <c r="AW708" s="855">
        <f t="shared" si="1014"/>
        <v>0.46979166666667904</v>
      </c>
      <c r="AX708" s="110"/>
      <c r="AY708" s="110"/>
      <c r="AZ708" s="110"/>
      <c r="BA708" s="110"/>
      <c r="BB708" s="110"/>
      <c r="BC708" s="110"/>
      <c r="BD708" s="110"/>
      <c r="BE708" s="110"/>
      <c r="BF708" s="110"/>
      <c r="BG708" s="110"/>
      <c r="BH708" s="110"/>
      <c r="BI708" s="110"/>
      <c r="BJ708" s="110"/>
      <c r="BK708" s="110"/>
      <c r="BL708" s="110"/>
      <c r="BM708" s="110"/>
      <c r="BN708" s="110"/>
      <c r="BO708" s="110"/>
      <c r="BP708" s="110"/>
      <c r="BQ708" s="110"/>
      <c r="BR708" s="110"/>
      <c r="BS708" s="110"/>
      <c r="BT708" s="110"/>
      <c r="BU708" s="110"/>
      <c r="BV708" s="110"/>
      <c r="BW708" s="110">
        <v>50.9</v>
      </c>
      <c r="BX708" s="110">
        <v>2822</v>
      </c>
      <c r="BY708" s="1054">
        <f t="shared" si="1066"/>
        <v>32</v>
      </c>
      <c r="BZ708" s="1054">
        <f t="shared" si="1067"/>
        <v>23.3125</v>
      </c>
      <c r="CA708" s="110">
        <v>1443</v>
      </c>
      <c r="CB708" s="486">
        <f t="shared" si="990"/>
        <v>87944.53125</v>
      </c>
      <c r="CC708" s="208">
        <f t="shared" si="1068"/>
        <v>306.640625</v>
      </c>
      <c r="CD708" s="208">
        <f t="shared" si="1069"/>
        <v>12.776692708333334</v>
      </c>
      <c r="CE708" s="230">
        <f t="shared" si="1073"/>
        <v>393.28235022385752</v>
      </c>
      <c r="CF708" s="110"/>
      <c r="CG708" s="208">
        <f>CC708/(AVERAGE(BY708,BY709)*AVERAGE((D$615,D$612,D$681,D$604,D$695,D$702,D$598,D$626,D$633,D$619))*0.01)</f>
        <v>303.24428896360757</v>
      </c>
      <c r="CH708" s="855">
        <f t="shared" si="1018"/>
        <v>0.41104641420911531</v>
      </c>
      <c r="CI708" s="110"/>
      <c r="CJ708" s="110"/>
      <c r="CK708" s="110"/>
      <c r="CL708" s="110"/>
      <c r="CM708" s="110"/>
      <c r="CN708" s="110"/>
    </row>
    <row r="709" spans="1:92" s="337" customFormat="1">
      <c r="A709" s="1036">
        <f t="shared" si="1010"/>
        <v>41864</v>
      </c>
      <c r="B709" s="1037">
        <f t="shared" si="1019"/>
        <v>0.33333333333333398</v>
      </c>
      <c r="C709" s="847">
        <f t="shared" si="1070"/>
        <v>24</v>
      </c>
      <c r="D709" s="442">
        <v>2.62</v>
      </c>
      <c r="E709" s="442">
        <v>86.04</v>
      </c>
      <c r="F709" s="442"/>
      <c r="G709" s="442"/>
      <c r="H709" s="442"/>
      <c r="I709" s="442"/>
      <c r="J709" s="442"/>
      <c r="K709" s="442"/>
      <c r="L709" s="442"/>
      <c r="M709" s="442"/>
      <c r="N709" s="442"/>
      <c r="O709" s="442"/>
      <c r="P709" s="442"/>
      <c r="Q709" s="442"/>
      <c r="R709" s="442"/>
      <c r="S709" s="442"/>
      <c r="T709" s="442"/>
      <c r="U709" s="442"/>
      <c r="V709" s="442">
        <v>1.69</v>
      </c>
      <c r="W709" s="442">
        <v>68.040000000000006</v>
      </c>
      <c r="X709" s="442"/>
      <c r="Y709" s="442"/>
      <c r="Z709" s="442"/>
      <c r="AA709" s="442"/>
      <c r="AB709" s="442"/>
      <c r="AC709" s="442"/>
      <c r="AD709" s="1021">
        <f>D702*(100-E702)/(100-W709)</f>
        <v>1.7221276595744681</v>
      </c>
      <c r="AE709" s="1055">
        <f>D702-V709</f>
        <v>1.1499999999999999</v>
      </c>
      <c r="AF709" s="847">
        <f>100*(AVERAGE(D$615,D$612,D$681,D$604,D$695,D$702,D$709,D$626,D$633,D$619)-V709)/AVERAGE(D$615,D$612,D$681,D$604,D$695,D$702,D$709,D$626,D$633,D$619)</f>
        <v>44.843342036553523</v>
      </c>
      <c r="AG709" s="847">
        <f>100*(1-((100-AVERAGE(E$615,E$612,E$681,E$604,E$695,E$702,E$709,E$626,E$633,E$619))/(100-W709)))</f>
        <v>30.738423028785931</v>
      </c>
      <c r="AH709" s="1055">
        <f>E702-W709</f>
        <v>12.579999999999998</v>
      </c>
      <c r="AI709" s="847">
        <f>100*(1-((V709*W709)/(AVERAGE(D$615,D$612,D$681,D$604,D$695,D$702,D$709,D$626,D$633,D$619)*AVERAGE(E$615,E$612,E$681,E$604,E$695,E$702,E$709,E$626,E$633,E$619))))</f>
        <v>51.802386111259402</v>
      </c>
      <c r="AJ709" s="847">
        <f>100*100*((AVERAGE(E$615,E$612,E$681,E$604,E$695,E$702,E$709,E$626,E$633,E$619)-W709)/((100-W709)*AVERAGE(E$615,E$612,E$681,E$604,E$695,E$702,E$709,E$626,E$633,E$619)))</f>
        <v>39.477066460477168</v>
      </c>
      <c r="AK709" s="442"/>
      <c r="AL709" s="442">
        <v>35.5</v>
      </c>
      <c r="AM709" s="442">
        <v>4613</v>
      </c>
      <c r="AN709" s="208">
        <f t="shared" si="1062"/>
        <v>60.480000000000004</v>
      </c>
      <c r="AO709" s="208">
        <f t="shared" si="1063"/>
        <v>23.363095238095237</v>
      </c>
      <c r="AP709" s="442">
        <v>3104</v>
      </c>
      <c r="AQ709" s="486">
        <f t="shared" si="1051"/>
        <v>186652.88437500002</v>
      </c>
      <c r="AR709" s="76">
        <f t="shared" si="1064"/>
        <v>603.46875</v>
      </c>
      <c r="AS709" s="230">
        <f t="shared" si="1065"/>
        <v>25.14453125</v>
      </c>
      <c r="AT709" s="208">
        <f>AR709/(AVERAGE(AN709,AN710)*(AVERAGE(D$615,D$612,D$681,D$604,D$695,D$702,D$709,D$626,D$633,D$619))*AVERAGE(E$615,E$612,E$681,E$604,E$695,E$702,E$709,E$626,E$633,E$619)*0.0001)</f>
        <v>418.23226287728642</v>
      </c>
      <c r="AU709" s="597">
        <f>(AQ709-AQ703)/(AVERAGE(AN703:AN709)*((AVERAGE(D$615,D$612,D$681,D$604,D$695,D$702,D$709,D$626,D$633,D$619)*AVERAGE(E$615,E$612,E$681,E$604,E$695,E$702,E$709,E$626,E$633,E$619))-(V709*W709))*0.0001*(SUM(C703:C709)/24))</f>
        <v>957.29947221953762</v>
      </c>
      <c r="AV709" s="230">
        <f>AR709/(AVERAGE(AN710,AN709)*AVERAGE(D$615,D$612,D$681,D$604,D$695,D$702,D$709,D$626,D$633,D$619)*0.01)</f>
        <v>325.65236916677026</v>
      </c>
      <c r="AW709" s="855">
        <f t="shared" si="1014"/>
        <v>0.42708333333333331</v>
      </c>
      <c r="AX709" s="442">
        <v>72.2</v>
      </c>
      <c r="AY709" s="442">
        <v>27.7</v>
      </c>
      <c r="AZ709" s="442">
        <v>0</v>
      </c>
      <c r="BA709" s="442">
        <v>2</v>
      </c>
      <c r="BB709" s="442">
        <v>40</v>
      </c>
      <c r="BC709" s="442"/>
      <c r="BD709" s="442"/>
      <c r="BE709" s="442"/>
      <c r="BF709" s="442"/>
      <c r="BG709" s="442">
        <v>1.75</v>
      </c>
      <c r="BH709" s="442">
        <v>68.760000000000005</v>
      </c>
      <c r="BI709" s="442"/>
      <c r="BJ709" s="442"/>
      <c r="BK709" s="442"/>
      <c r="BL709" s="442"/>
      <c r="BM709" s="442"/>
      <c r="BN709" s="442"/>
      <c r="BO709" s="847">
        <f>D702*(100-E702)/(100-BH709)</f>
        <v>1.7618181818181817</v>
      </c>
      <c r="BP709" s="1055">
        <f>D702-BG709</f>
        <v>1.0899999999999999</v>
      </c>
      <c r="BQ709" s="1056">
        <f>100*(AVERAGE(D$615,D$612,D$681,D$604,D$695,D$702,D$709,D$626,D$633,D$619)-BG709)/AVERAGE(D$615,D$612,D$681,D$604,D$695,D$702,D$709,D$626,D$633,D$619)</f>
        <v>42.885117493472585</v>
      </c>
      <c r="BR709" s="1056">
        <f>100*(1-((100-AVERAGE(E$615,E$612,E$681,E$604,E$695,E$702,E$709,E$626,E$633,E$619))/(100-BH709)))</f>
        <v>29.142125480153602</v>
      </c>
      <c r="BS709" s="1055">
        <f>E702-BH709</f>
        <v>11.86</v>
      </c>
      <c r="BT709" s="1055">
        <f>100*(1-((BG709*BH709)/(AVERAGE(D$615,D$612,D$681,D$604,D$695,D$702,D$709,D$626,D$633,D$619)*AVERAGE(E$615,E$612,E$681,E$604,E$695,E$702,E$709,E$626,E$633,E$619))))</f>
        <v>49.563093070625378</v>
      </c>
      <c r="BU709" s="847">
        <f>100*100*((AVERAGE(E$615,E$612,E$681,E$604,E$695,E$702,E$709,E$626,E$633,E$619)-BH709)/((100-BH709)*AVERAGE(E$615,E$612,E$681,E$604,E$695,E$702,E$709,E$626,E$633,E$619)))</f>
        <v>37.426956591176427</v>
      </c>
      <c r="BV709" s="442"/>
      <c r="BW709" s="442">
        <v>50.5</v>
      </c>
      <c r="BX709" s="442">
        <v>2838</v>
      </c>
      <c r="BY709" s="1054">
        <f t="shared" si="1066"/>
        <v>32</v>
      </c>
      <c r="BZ709" s="1054">
        <f t="shared" si="1067"/>
        <v>23.3125</v>
      </c>
      <c r="CA709" s="442">
        <v>1447</v>
      </c>
      <c r="CB709" s="486">
        <f t="shared" si="990"/>
        <v>88189.84375</v>
      </c>
      <c r="CC709" s="208">
        <f t="shared" si="1068"/>
        <v>245.3125</v>
      </c>
      <c r="CD709" s="208">
        <f t="shared" si="1069"/>
        <v>10.221354166666666</v>
      </c>
      <c r="CE709" s="230">
        <f>CC709/(AVERAGE(BY710,BY709)*(AVERAGE(D$615,D$612,D$681,D$604,D$695,D$702,D$709,D$626,D$633,D$619))*AVERAGE(E$615,E$612,E$681,E$604,E$695,E$702,E$709,E$626,E$633,E$619)*0.0001)</f>
        <v>321.32478733254931</v>
      </c>
      <c r="CF709" s="334">
        <f>(CB709-CB703)/(AVERAGE(BY703:BY709)*((AVERAGE(D$615,D$612,D$681,D$604,D$695,D$702,D$709,D$626,D$633,D$619)*AVERAGE(E$615,E$612,E$681,E$604,E$695,E$702,E$709,E$626,E$633,E$619))-(BG709*BH709))*0.0001*(SUM(C703:C709)/24))</f>
        <v>810.39329727332256</v>
      </c>
      <c r="CG709" s="208">
        <f>CC709/(AVERAGE(BY709,BY710)*AVERAGE((D$615,D$612,D$681,D$604,D$695,D$702,D$709,D$626,D$633,D$619))*0.01)</f>
        <v>250.19633240861617</v>
      </c>
      <c r="CH709" s="855">
        <f t="shared" si="1018"/>
        <v>0.3288371313672922</v>
      </c>
      <c r="CI709" s="442">
        <v>68.400000000000006</v>
      </c>
      <c r="CJ709" s="442">
        <v>29.5</v>
      </c>
      <c r="CK709" s="442">
        <v>0</v>
      </c>
      <c r="CL709" s="442">
        <v>15</v>
      </c>
      <c r="CM709" s="442">
        <v>130</v>
      </c>
      <c r="CN709" s="442"/>
    </row>
    <row r="710" spans="1:92">
      <c r="A710" s="1034">
        <f t="shared" si="1010"/>
        <v>41865</v>
      </c>
      <c r="B710" s="1035">
        <f t="shared" si="1019"/>
        <v>0.33333333333333398</v>
      </c>
      <c r="C710" s="854">
        <f t="shared" si="1070"/>
        <v>24</v>
      </c>
      <c r="D710" s="110"/>
      <c r="E710" s="110"/>
      <c r="F710" s="110"/>
      <c r="G710" s="110"/>
      <c r="H710" s="110"/>
      <c r="I710" s="110"/>
      <c r="J710" s="110"/>
      <c r="K710" s="110"/>
      <c r="L710" s="110"/>
      <c r="M710" s="110">
        <v>50</v>
      </c>
      <c r="N710" s="110">
        <v>80</v>
      </c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  <c r="AA710" s="110"/>
      <c r="AB710" s="110"/>
      <c r="AC710" s="110"/>
      <c r="AD710" s="110"/>
      <c r="AE710" s="110"/>
      <c r="AF710" s="110"/>
      <c r="AG710" s="110"/>
      <c r="AH710" s="110"/>
      <c r="AI710" s="110"/>
      <c r="AJ710" s="110"/>
      <c r="AK710" s="110"/>
      <c r="AL710" s="110">
        <v>35.6</v>
      </c>
      <c r="AM710" s="110">
        <v>4641</v>
      </c>
      <c r="AN710" s="208">
        <f t="shared" si="1062"/>
        <v>60.480000000000004</v>
      </c>
      <c r="AO710" s="208">
        <f t="shared" si="1063"/>
        <v>23.363095238095237</v>
      </c>
      <c r="AP710" s="110">
        <v>3114</v>
      </c>
      <c r="AQ710" s="486">
        <f t="shared" si="1051"/>
        <v>187256.35312500002</v>
      </c>
      <c r="AR710" s="76">
        <f t="shared" si="1064"/>
        <v>603.46875</v>
      </c>
      <c r="AS710" s="230">
        <f t="shared" si="1065"/>
        <v>25.14453125</v>
      </c>
      <c r="AT710" s="208">
        <f t="shared" ref="AT710:AT714" si="1074">AR710/(AVERAGE(AN710,AN711)*(AVERAGE(D$615,D$612,D$681,D$604,D$695,D$702,D$709,D$626,D$633,D$619))*AVERAGE(E$615,E$612,E$681,E$604,E$695,E$702,E$709,E$626,E$633,E$619)*0.0001)</f>
        <v>418.23226287728642</v>
      </c>
      <c r="AU710" s="110"/>
      <c r="AV710" s="230">
        <f t="shared" ref="AV710:AV714" si="1075">AR710/(AVERAGE(AN711,AN710)*AVERAGE(D$615,D$612,D$681,D$604,D$695,D$702,D$709,D$626,D$633,D$619)*0.01)</f>
        <v>325.65236916677026</v>
      </c>
      <c r="AW710" s="855">
        <f t="shared" si="1014"/>
        <v>0.42708333333333331</v>
      </c>
      <c r="AX710" s="110"/>
      <c r="AY710" s="110"/>
      <c r="AZ710" s="110"/>
      <c r="BA710" s="110"/>
      <c r="BB710" s="110"/>
      <c r="BC710" s="110"/>
      <c r="BD710" s="110"/>
      <c r="BE710" s="110"/>
      <c r="BF710" s="110"/>
      <c r="BG710" s="110"/>
      <c r="BH710" s="110"/>
      <c r="BI710" s="110"/>
      <c r="BJ710" s="110"/>
      <c r="BK710" s="110"/>
      <c r="BL710" s="110"/>
      <c r="BM710" s="110"/>
      <c r="BN710" s="110"/>
      <c r="BO710" s="110"/>
      <c r="BP710" s="110"/>
      <c r="BQ710" s="110"/>
      <c r="BR710" s="110"/>
      <c r="BS710" s="110"/>
      <c r="BT710" s="110"/>
      <c r="BU710" s="110"/>
      <c r="BV710" s="110"/>
      <c r="BW710" s="110">
        <v>50.4</v>
      </c>
      <c r="BX710" s="110">
        <v>2854</v>
      </c>
      <c r="BY710" s="1054">
        <f t="shared" si="1066"/>
        <v>32</v>
      </c>
      <c r="BZ710" s="1054">
        <f t="shared" si="1067"/>
        <v>23.3125</v>
      </c>
      <c r="CA710" s="110">
        <v>1451</v>
      </c>
      <c r="CB710" s="486">
        <f t="shared" si="990"/>
        <v>88435.15625</v>
      </c>
      <c r="CC710" s="208">
        <f t="shared" si="1068"/>
        <v>245.3125</v>
      </c>
      <c r="CD710" s="208">
        <f t="shared" si="1069"/>
        <v>10.221354166666666</v>
      </c>
      <c r="CE710" s="230">
        <f t="shared" ref="CE710:CE714" si="1076">CC710/(AVERAGE(BY711,BY710)*(AVERAGE(D$615,D$612,D$681,D$604,D$695,D$702,D$709,D$626,D$633,D$619))*AVERAGE(E$615,E$612,E$681,E$604,E$695,E$702,E$709,E$626,E$633,E$619)*0.0001)</f>
        <v>321.32478733254931</v>
      </c>
      <c r="CF710" s="110"/>
      <c r="CG710" s="208">
        <f>CC710/(AVERAGE(BY710,BY711)*AVERAGE((D$615,D$612,D$681,D$604,D$695,D$702,D$709,D$626,D$633,D$619))*0.01)</f>
        <v>250.19633240861617</v>
      </c>
      <c r="CH710" s="855">
        <f t="shared" si="1018"/>
        <v>0.3288371313672922</v>
      </c>
      <c r="CI710" s="110"/>
      <c r="CJ710" s="110"/>
      <c r="CK710" s="110"/>
      <c r="CL710" s="110"/>
      <c r="CM710" s="110"/>
      <c r="CN710" s="110"/>
    </row>
    <row r="711" spans="1:92">
      <c r="A711" s="1034">
        <f t="shared" si="1010"/>
        <v>41866</v>
      </c>
      <c r="B711" s="1035">
        <f t="shared" si="1019"/>
        <v>0.33333333333333398</v>
      </c>
      <c r="C711" s="854">
        <f t="shared" si="1070"/>
        <v>24</v>
      </c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  <c r="AA711" s="110"/>
      <c r="AB711" s="110"/>
      <c r="AC711" s="110"/>
      <c r="AD711" s="110"/>
      <c r="AE711" s="110"/>
      <c r="AF711" s="110"/>
      <c r="AG711" s="110"/>
      <c r="AH711" s="110"/>
      <c r="AI711" s="110"/>
      <c r="AJ711" s="110"/>
      <c r="AK711" s="110"/>
      <c r="AL711" s="110">
        <v>35.6</v>
      </c>
      <c r="AM711" s="110">
        <v>4669</v>
      </c>
      <c r="AN711" s="208">
        <f t="shared" si="1062"/>
        <v>60.480000000000004</v>
      </c>
      <c r="AO711" s="208">
        <f t="shared" si="1063"/>
        <v>23.363095238095237</v>
      </c>
      <c r="AP711" s="110">
        <v>3123</v>
      </c>
      <c r="AQ711" s="486">
        <f t="shared" si="1051"/>
        <v>187799.47500000001</v>
      </c>
      <c r="AR711" s="76">
        <f t="shared" si="1064"/>
        <v>543.12187499998254</v>
      </c>
      <c r="AS711" s="230">
        <f t="shared" si="1065"/>
        <v>22.630078124999272</v>
      </c>
      <c r="AT711" s="208">
        <f t="shared" si="1074"/>
        <v>376.40903658954568</v>
      </c>
      <c r="AU711" s="110"/>
      <c r="AV711" s="230">
        <f t="shared" si="1075"/>
        <v>293.08713225008381</v>
      </c>
      <c r="AW711" s="855">
        <f t="shared" si="1014"/>
        <v>0.38437499999998764</v>
      </c>
      <c r="AX711" s="110"/>
      <c r="AY711" s="110"/>
      <c r="AZ711" s="110"/>
      <c r="BA711" s="110"/>
      <c r="BB711" s="110"/>
      <c r="BC711" s="110"/>
      <c r="BD711" s="110"/>
      <c r="BE711" s="110"/>
      <c r="BF711" s="110"/>
      <c r="BG711" s="110"/>
      <c r="BH711" s="110"/>
      <c r="BI711" s="110"/>
      <c r="BJ711" s="110"/>
      <c r="BK711" s="110"/>
      <c r="BL711" s="110"/>
      <c r="BM711" s="110"/>
      <c r="BN711" s="110"/>
      <c r="BO711" s="110"/>
      <c r="BP711" s="110"/>
      <c r="BQ711" s="110"/>
      <c r="BR711" s="110"/>
      <c r="BS711" s="110"/>
      <c r="BT711" s="110"/>
      <c r="BU711" s="110"/>
      <c r="BV711" s="110"/>
      <c r="BW711" s="110">
        <v>50.5</v>
      </c>
      <c r="BX711" s="110">
        <v>2870</v>
      </c>
      <c r="BY711" s="1054">
        <f t="shared" si="1066"/>
        <v>32</v>
      </c>
      <c r="BZ711" s="1054">
        <f t="shared" si="1067"/>
        <v>23.3125</v>
      </c>
      <c r="CA711" s="110">
        <v>1455</v>
      </c>
      <c r="CB711" s="486">
        <f t="shared" si="990"/>
        <v>88680.46875</v>
      </c>
      <c r="CC711" s="208">
        <f t="shared" si="1068"/>
        <v>245.3125</v>
      </c>
      <c r="CD711" s="208">
        <f t="shared" si="1069"/>
        <v>10.221354166666666</v>
      </c>
      <c r="CE711" s="230">
        <f t="shared" si="1076"/>
        <v>321.32478733254931</v>
      </c>
      <c r="CF711" s="110"/>
      <c r="CG711" s="208">
        <f>CC711/(AVERAGE(BY711,BY712)*AVERAGE((D$615,D$612,D$681,D$604,D$695,D$702,D$709,D$626,D$633,D$619))*0.01)</f>
        <v>250.19633240861617</v>
      </c>
      <c r="CH711" s="855">
        <f t="shared" si="1018"/>
        <v>0.3288371313672922</v>
      </c>
      <c r="CI711" s="110"/>
      <c r="CJ711" s="110"/>
      <c r="CK711" s="110"/>
      <c r="CL711" s="110"/>
      <c r="CM711" s="110"/>
      <c r="CN711" s="110"/>
    </row>
    <row r="712" spans="1:92">
      <c r="A712" s="1034">
        <f t="shared" si="1010"/>
        <v>41867</v>
      </c>
      <c r="B712" s="1035">
        <f t="shared" si="1019"/>
        <v>0.33333333333333398</v>
      </c>
      <c r="C712" s="854">
        <f t="shared" si="1070"/>
        <v>24</v>
      </c>
      <c r="D712" s="110"/>
      <c r="E712" s="110"/>
      <c r="F712" s="110"/>
      <c r="G712" s="110"/>
      <c r="H712" s="110"/>
      <c r="I712" s="110"/>
      <c r="J712" s="110"/>
      <c r="K712" s="110"/>
      <c r="L712" s="110"/>
      <c r="M712" s="110">
        <v>45</v>
      </c>
      <c r="N712" s="110">
        <v>80</v>
      </c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  <c r="AA712" s="110"/>
      <c r="AB712" s="110"/>
      <c r="AC712" s="110"/>
      <c r="AD712" s="110"/>
      <c r="AE712" s="110"/>
      <c r="AF712" s="110"/>
      <c r="AG712" s="110"/>
      <c r="AH712" s="110"/>
      <c r="AI712" s="110"/>
      <c r="AJ712" s="110"/>
      <c r="AK712" s="110"/>
      <c r="AL712" s="110">
        <v>35.700000000000003</v>
      </c>
      <c r="AM712" s="110">
        <v>4697</v>
      </c>
      <c r="AN712" s="208">
        <f t="shared" si="1062"/>
        <v>60.480000000000004</v>
      </c>
      <c r="AO712" s="208">
        <f t="shared" si="1063"/>
        <v>23.363095238095237</v>
      </c>
      <c r="AP712" s="110">
        <v>3133</v>
      </c>
      <c r="AQ712" s="486">
        <f t="shared" si="1051"/>
        <v>188402.94375000001</v>
      </c>
      <c r="AR712" s="76">
        <f t="shared" si="1064"/>
        <v>603.46875</v>
      </c>
      <c r="AS712" s="230">
        <f t="shared" si="1065"/>
        <v>25.14453125</v>
      </c>
      <c r="AT712" s="208">
        <f t="shared" si="1074"/>
        <v>418.23226287728642</v>
      </c>
      <c r="AU712" s="110"/>
      <c r="AV712" s="230">
        <f t="shared" si="1075"/>
        <v>325.65236916677026</v>
      </c>
      <c r="AW712" s="855">
        <f t="shared" si="1014"/>
        <v>0.42708333333333331</v>
      </c>
      <c r="AX712" s="110"/>
      <c r="AY712" s="110"/>
      <c r="AZ712" s="110"/>
      <c r="BA712" s="110"/>
      <c r="BB712" s="110"/>
      <c r="BC712" s="110"/>
      <c r="BD712" s="110"/>
      <c r="BE712" s="110"/>
      <c r="BF712" s="110"/>
      <c r="BG712" s="110"/>
      <c r="BH712" s="110"/>
      <c r="BI712" s="110"/>
      <c r="BJ712" s="110"/>
      <c r="BK712" s="110"/>
      <c r="BL712" s="110"/>
      <c r="BM712" s="110"/>
      <c r="BN712" s="110"/>
      <c r="BO712" s="110"/>
      <c r="BP712" s="110"/>
      <c r="BQ712" s="110"/>
      <c r="BR712" s="110"/>
      <c r="BS712" s="110"/>
      <c r="BT712" s="110"/>
      <c r="BU712" s="110"/>
      <c r="BV712" s="110"/>
      <c r="BW712" s="110">
        <v>50.5</v>
      </c>
      <c r="BX712" s="110">
        <v>2886</v>
      </c>
      <c r="BY712" s="1054">
        <f t="shared" si="1066"/>
        <v>32</v>
      </c>
      <c r="BZ712" s="1054">
        <f t="shared" si="1067"/>
        <v>23.3125</v>
      </c>
      <c r="CA712" s="110">
        <v>1458</v>
      </c>
      <c r="CB712" s="486">
        <f t="shared" si="990"/>
        <v>88864.453125</v>
      </c>
      <c r="CC712" s="208">
        <f t="shared" si="1068"/>
        <v>183.984375</v>
      </c>
      <c r="CD712" s="208">
        <f t="shared" si="1069"/>
        <v>7.666015625</v>
      </c>
      <c r="CE712" s="230">
        <f t="shared" si="1076"/>
        <v>240.99359049941197</v>
      </c>
      <c r="CF712" s="110"/>
      <c r="CG712" s="208">
        <f>CC712/(AVERAGE(BY712,BY713)*AVERAGE((D$615,D$612,D$681,D$604,D$695,D$702,D$709,D$626,D$633,D$619))*0.01)</f>
        <v>187.64724930646213</v>
      </c>
      <c r="CH712" s="855">
        <f t="shared" si="1018"/>
        <v>0.24662784852546918</v>
      </c>
      <c r="CI712" s="110"/>
      <c r="CJ712" s="110"/>
      <c r="CK712" s="110"/>
      <c r="CL712" s="110"/>
      <c r="CM712" s="110"/>
      <c r="CN712" s="110"/>
    </row>
    <row r="713" spans="1:92">
      <c r="A713" s="1034">
        <f t="shared" si="1010"/>
        <v>41868</v>
      </c>
      <c r="B713" s="1035">
        <f t="shared" si="1019"/>
        <v>0.33333333333333398</v>
      </c>
      <c r="C713" s="854">
        <f t="shared" si="1070"/>
        <v>24</v>
      </c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  <c r="AA713" s="110"/>
      <c r="AB713" s="110"/>
      <c r="AC713" s="110"/>
      <c r="AD713" s="110"/>
      <c r="AE713" s="110"/>
      <c r="AF713" s="110"/>
      <c r="AG713" s="110"/>
      <c r="AH713" s="110"/>
      <c r="AI713" s="110"/>
      <c r="AJ713" s="110"/>
      <c r="AK713" s="110"/>
      <c r="AL713" s="110">
        <v>35.700000000000003</v>
      </c>
      <c r="AM713" s="110">
        <v>4725</v>
      </c>
      <c r="AN713" s="208">
        <f t="shared" si="1062"/>
        <v>60.480000000000004</v>
      </c>
      <c r="AO713" s="208">
        <f t="shared" si="1063"/>
        <v>23.363095238095237</v>
      </c>
      <c r="AP713" s="110">
        <v>3143</v>
      </c>
      <c r="AQ713" s="486">
        <f t="shared" si="1051"/>
        <v>189006.41250000001</v>
      </c>
      <c r="AR713" s="76">
        <f t="shared" si="1064"/>
        <v>603.46875</v>
      </c>
      <c r="AS713" s="230">
        <f t="shared" si="1065"/>
        <v>25.14453125</v>
      </c>
      <c r="AT713" s="208">
        <f t="shared" si="1074"/>
        <v>418.23226287728642</v>
      </c>
      <c r="AU713" s="110"/>
      <c r="AV713" s="230">
        <f t="shared" si="1075"/>
        <v>325.65236916677026</v>
      </c>
      <c r="AW713" s="855">
        <f t="shared" si="1014"/>
        <v>0.42708333333333331</v>
      </c>
      <c r="AX713" s="110"/>
      <c r="AY713" s="110"/>
      <c r="AZ713" s="110"/>
      <c r="BA713" s="110"/>
      <c r="BB713" s="110"/>
      <c r="BC713" s="110"/>
      <c r="BD713" s="110"/>
      <c r="BE713" s="110"/>
      <c r="BF713" s="110"/>
      <c r="BG713" s="110"/>
      <c r="BH713" s="110"/>
      <c r="BI713" s="110"/>
      <c r="BJ713" s="110"/>
      <c r="BK713" s="110"/>
      <c r="BL713" s="110"/>
      <c r="BM713" s="110"/>
      <c r="BN713" s="110"/>
      <c r="BO713" s="110"/>
      <c r="BP713" s="110"/>
      <c r="BQ713" s="110"/>
      <c r="BR713" s="110"/>
      <c r="BS713" s="110"/>
      <c r="BT713" s="110"/>
      <c r="BU713" s="110"/>
      <c r="BV713" s="110"/>
      <c r="BW713" s="110">
        <v>50.3</v>
      </c>
      <c r="BX713" s="110">
        <v>2902</v>
      </c>
      <c r="BY713" s="1054">
        <f t="shared" si="1066"/>
        <v>32</v>
      </c>
      <c r="BZ713" s="1054">
        <f t="shared" si="1067"/>
        <v>23.3125</v>
      </c>
      <c r="CA713" s="110">
        <v>1462</v>
      </c>
      <c r="CB713" s="486">
        <f t="shared" si="990"/>
        <v>89109.765625</v>
      </c>
      <c r="CC713" s="208">
        <f t="shared" si="1068"/>
        <v>245.3125</v>
      </c>
      <c r="CD713" s="208">
        <f t="shared" si="1069"/>
        <v>10.221354166666666</v>
      </c>
      <c r="CE713" s="230">
        <f t="shared" si="1076"/>
        <v>321.32478733254931</v>
      </c>
      <c r="CF713" s="110"/>
      <c r="CG713" s="208">
        <f>CC713/(AVERAGE(BY713,BY714)*AVERAGE((D$615,D$612,D$681,D$604,D$695,D$702,D$709,D$626,D$633,D$619))*0.01)</f>
        <v>250.19633240861617</v>
      </c>
      <c r="CH713" s="855">
        <f t="shared" si="1018"/>
        <v>0.3288371313672922</v>
      </c>
      <c r="CI713" s="110"/>
      <c r="CJ713" s="110"/>
      <c r="CK713" s="110"/>
      <c r="CL713" s="110"/>
      <c r="CM713" s="110"/>
      <c r="CN713" s="110"/>
    </row>
    <row r="714" spans="1:92">
      <c r="A714" s="1034">
        <f t="shared" si="1010"/>
        <v>41869</v>
      </c>
      <c r="B714" s="1035">
        <f t="shared" si="1019"/>
        <v>0.33333333333333398</v>
      </c>
      <c r="C714" s="854">
        <f t="shared" si="1070"/>
        <v>24</v>
      </c>
      <c r="D714" s="110"/>
      <c r="E714" s="110"/>
      <c r="F714" s="110"/>
      <c r="G714" s="110"/>
      <c r="H714" s="110"/>
      <c r="I714" s="110"/>
      <c r="J714" s="110"/>
      <c r="K714" s="110"/>
      <c r="L714" s="110"/>
      <c r="M714" s="110">
        <v>50</v>
      </c>
      <c r="N714" s="110">
        <v>80</v>
      </c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  <c r="AA714" s="110"/>
      <c r="AB714" s="110"/>
      <c r="AC714" s="110"/>
      <c r="AD714" s="110"/>
      <c r="AE714" s="110"/>
      <c r="AF714" s="110"/>
      <c r="AG714" s="110"/>
      <c r="AH714" s="110"/>
      <c r="AI714" s="110"/>
      <c r="AJ714" s="110"/>
      <c r="AK714" s="110"/>
      <c r="AL714" s="110">
        <v>35.5</v>
      </c>
      <c r="AM714" s="110">
        <v>4753</v>
      </c>
      <c r="AN714" s="208">
        <f t="shared" si="1062"/>
        <v>60.480000000000004</v>
      </c>
      <c r="AO714" s="208">
        <f t="shared" si="1063"/>
        <v>23.363095238095237</v>
      </c>
      <c r="AP714" s="110">
        <v>3153</v>
      </c>
      <c r="AQ714" s="486">
        <f t="shared" si="1051"/>
        <v>189609.88125000001</v>
      </c>
      <c r="AR714" s="76">
        <f t="shared" si="1064"/>
        <v>603.46875</v>
      </c>
      <c r="AS714" s="230">
        <f t="shared" si="1065"/>
        <v>25.14453125</v>
      </c>
      <c r="AT714" s="208">
        <f t="shared" si="1074"/>
        <v>418.23226287728642</v>
      </c>
      <c r="AU714" s="110"/>
      <c r="AV714" s="230">
        <f t="shared" si="1075"/>
        <v>325.65236916677026</v>
      </c>
      <c r="AW714" s="855">
        <f t="shared" si="1014"/>
        <v>0.42708333333333331</v>
      </c>
      <c r="AX714" s="110"/>
      <c r="AY714" s="110"/>
      <c r="AZ714" s="110"/>
      <c r="BA714" s="110"/>
      <c r="BB714" s="110"/>
      <c r="BC714" s="110"/>
      <c r="BD714" s="110"/>
      <c r="BE714" s="110"/>
      <c r="BF714" s="110"/>
      <c r="BG714" s="110"/>
      <c r="BH714" s="110"/>
      <c r="BI714" s="110"/>
      <c r="BJ714" s="110"/>
      <c r="BK714" s="110"/>
      <c r="BL714" s="110"/>
      <c r="BM714" s="110"/>
      <c r="BN714" s="110"/>
      <c r="BO714" s="110"/>
      <c r="BP714" s="110"/>
      <c r="BQ714" s="110"/>
      <c r="BR714" s="110"/>
      <c r="BS714" s="110"/>
      <c r="BT714" s="110"/>
      <c r="BU714" s="110"/>
      <c r="BV714" s="110"/>
      <c r="BW714" s="110">
        <v>50.4</v>
      </c>
      <c r="BX714" s="110">
        <v>2918</v>
      </c>
      <c r="BY714" s="1054">
        <f t="shared" si="1066"/>
        <v>32</v>
      </c>
      <c r="BZ714" s="1054">
        <f t="shared" si="1067"/>
        <v>23.3125</v>
      </c>
      <c r="CA714" s="110">
        <v>1466</v>
      </c>
      <c r="CB714" s="486">
        <f t="shared" si="990"/>
        <v>89355.078125</v>
      </c>
      <c r="CC714" s="208">
        <f t="shared" si="1068"/>
        <v>245.3125</v>
      </c>
      <c r="CD714" s="208">
        <f t="shared" si="1069"/>
        <v>10.221354166666666</v>
      </c>
      <c r="CE714" s="230">
        <f t="shared" si="1076"/>
        <v>321.32478733254931</v>
      </c>
      <c r="CF714" s="110"/>
      <c r="CG714" s="208">
        <f>CC714/(AVERAGE(BY714,BY715)*AVERAGE((D$615,D$612,D$681,D$604,D$695,D$702,D$709,D$626,D$633,D$619))*0.01)</f>
        <v>250.19633240861617</v>
      </c>
      <c r="CH714" s="855">
        <f t="shared" si="1018"/>
        <v>0.3288371313672922</v>
      </c>
      <c r="CI714" s="110"/>
      <c r="CJ714" s="110"/>
      <c r="CK714" s="110"/>
      <c r="CL714" s="110"/>
      <c r="CM714" s="110"/>
      <c r="CN714" s="110"/>
    </row>
    <row r="715" spans="1:92" s="337" customFormat="1">
      <c r="A715" s="1036">
        <f t="shared" si="1010"/>
        <v>41870</v>
      </c>
      <c r="B715" s="1037">
        <f t="shared" si="1019"/>
        <v>0.33333333333333398</v>
      </c>
      <c r="C715" s="847">
        <f t="shared" si="1070"/>
        <v>24</v>
      </c>
      <c r="D715" s="442">
        <v>2.62</v>
      </c>
      <c r="E715" s="442">
        <v>72.38</v>
      </c>
      <c r="F715" s="442"/>
      <c r="G715" s="442"/>
      <c r="H715" s="442"/>
      <c r="I715" s="442"/>
      <c r="J715" s="442"/>
      <c r="K715" s="442"/>
      <c r="L715" s="442"/>
      <c r="M715" s="442"/>
      <c r="N715" s="442"/>
      <c r="O715" s="442"/>
      <c r="P715" s="442"/>
      <c r="Q715" s="442"/>
      <c r="R715" s="442"/>
      <c r="S715" s="442"/>
      <c r="T715" s="442"/>
      <c r="U715" s="442"/>
      <c r="V715" s="442">
        <v>1.85</v>
      </c>
      <c r="W715" s="442">
        <v>68.69</v>
      </c>
      <c r="X715" s="442"/>
      <c r="Y715" s="442"/>
      <c r="Z715" s="442"/>
      <c r="AA715" s="442"/>
      <c r="AB715" s="442"/>
      <c r="AC715" s="442"/>
      <c r="AD715" s="1021">
        <f>D709*(100-E709)/(100-W715)</f>
        <v>1.1681635260300218</v>
      </c>
      <c r="AE715" s="1055">
        <f>D709-V715</f>
        <v>0.77</v>
      </c>
      <c r="AF715" s="847">
        <f>100*(AVERAGE(D$615,D$612,D$681,D$715,D$695,D$702,D$709,D$626,D$633,D$619)-V715)/AVERAGE(D$615,D$612,D$681,D$715,D$695,D$702,D$709,D$626,D$633,D$619)</f>
        <v>36.989100817438697</v>
      </c>
      <c r="AG715" s="847">
        <f>100*(1-((100-AVERAGE(E$615,E$612,E$681,E$715,E$695,E$702,E$709,E$626,E$633,E$619))/(100-W715)))</f>
        <v>27.186202491216815</v>
      </c>
      <c r="AH715" s="1055">
        <f>E709-W715</f>
        <v>17.350000000000009</v>
      </c>
      <c r="AI715" s="847">
        <f>100*(1-((V715*W715)/(AVERAGE(D$615,D$612,D$681,D$715,D$695,D$702,D$709,D$626,D$633,D$619)*AVERAGE(E$615,E$612,E$681,E$715,E$695,E$702,E$709,E$626,E$633,E$619))))</f>
        <v>43.936443811687056</v>
      </c>
      <c r="AJ715" s="847">
        <f>100*100*((AVERAGE(E$615,E$612,E$681,E$715,E$695,E$702,E$709,E$626,E$633,E$619)-W715)/((100-W715)*AVERAGE(E$615,E$612,E$681,E$715,E$695,E$702,E$709,E$626,E$633,E$619)))</f>
        <v>35.214375911526673</v>
      </c>
      <c r="AK715" s="442"/>
      <c r="AL715" s="442"/>
      <c r="AM715" s="442"/>
      <c r="AN715" s="442"/>
      <c r="AO715" s="442"/>
      <c r="AP715" s="442"/>
      <c r="AQ715" s="442"/>
      <c r="AR715" s="442"/>
      <c r="AS715" s="442"/>
      <c r="AT715" s="208" t="e">
        <f>AR715/(AVERAGE(AN715,AN716)*(AVERAGE(D$615,D$612,D$681,D$715,D$695,D$702,D$709,D$626,D$633,D$619))*AVERAGE(E$615,E$612,E$681,E$715,E$695,E$702,E$709,E$626,E$633,E$619)*0.0001)</f>
        <v>#DIV/0!</v>
      </c>
      <c r="AU715" s="597">
        <f>(AQ715-AQ709)/(AVERAGE(AN709:AN715)*((AVERAGE(D$615,D$612,D$681,D$715,D$695,D$702,D$709,D$626,D$633,D$619)*AVERAGE(E$615,E$612,E$681,E$715,E$695,E$702,E$709,E$626,E$633,E$619))-(V715*W715))*0.0001*(SUM(C709:C715)/24))</f>
        <v>-44270.596935556619</v>
      </c>
      <c r="AV715" s="230" t="e">
        <f>AR715/(AVERAGE(AN716,AN715)*AVERAGE(D$615,D$612,D$681,D$715,D$695,D$702,D$709,D$626,D$633,D$619)*0.01)</f>
        <v>#DIV/0!</v>
      </c>
      <c r="AW715" s="442"/>
      <c r="AX715" s="442">
        <v>72.099999999999994</v>
      </c>
      <c r="AY715" s="442">
        <v>27.8</v>
      </c>
      <c r="AZ715" s="442">
        <v>0</v>
      </c>
      <c r="BA715" s="442">
        <v>5</v>
      </c>
      <c r="BB715" s="442">
        <v>35</v>
      </c>
      <c r="BC715" s="442"/>
      <c r="BD715" s="442"/>
      <c r="BE715" s="442"/>
      <c r="BF715" s="442"/>
      <c r="BG715" s="442">
        <v>1.71</v>
      </c>
      <c r="BH715" s="442">
        <v>68.53</v>
      </c>
      <c r="BI715" s="442"/>
      <c r="BJ715" s="442"/>
      <c r="BK715" s="442"/>
      <c r="BL715" s="442"/>
      <c r="BM715" s="442"/>
      <c r="BN715" s="442"/>
      <c r="BO715" s="847">
        <f>D709*(100-E709)/(100-BH715)</f>
        <v>1.1622243406418808</v>
      </c>
      <c r="BP715" s="1055">
        <f>D709-BG715</f>
        <v>0.91000000000000014</v>
      </c>
      <c r="BQ715" s="1056">
        <f>100*(AVERAGE(D$615,D$612,D$681,D$715,D$695,D$702,D$709,D$626,D$633,D$619)-BG715)/AVERAGE(D$615,D$612,D$681,D$715,D$695,D$702,D$709,D$626,D$633,D$619)</f>
        <v>41.757493188010905</v>
      </c>
      <c r="BR715" s="1056">
        <f>100*(1-((100-AVERAGE(E$615,E$612,E$681,E$715,E$695,E$702,E$709,E$626,E$633,E$619))/(100-BH715)))</f>
        <v>27.556402923419078</v>
      </c>
      <c r="BS715" s="1055">
        <f>E709-BH715</f>
        <v>17.510000000000005</v>
      </c>
      <c r="BT715" s="1055">
        <f>100*(1-((BG715*BH715)/(AVERAGE(D$615,D$612,D$681,D$715,D$695,D$702,D$709,D$626,D$633,D$619)*AVERAGE(E$615,E$612,E$681,E$715,E$695,E$702,E$709,E$626,E$633,E$619))))</f>
        <v>48.299798038579134</v>
      </c>
      <c r="BU715" s="847">
        <f>100*100*((AVERAGE(E$615,E$612,E$681,E$715,E$695,E$702,E$709,E$626,E$633,E$619)-BH715)/((100-BH715)*AVERAGE(E$615,E$612,E$681,E$715,E$695,E$702,E$709,E$626,E$633,E$619)))</f>
        <v>35.693897727285666</v>
      </c>
      <c r="BV715" s="442"/>
      <c r="BW715" s="442"/>
      <c r="BX715" s="442"/>
      <c r="BY715" s="442"/>
      <c r="BZ715" s="442"/>
      <c r="CA715" s="442"/>
      <c r="CB715" s="1107"/>
      <c r="CC715" s="442"/>
      <c r="CD715" s="442"/>
      <c r="CE715" s="230" t="e">
        <f>CC715/(AVERAGE(BY716,BY715)*(AVERAGE(D$615,D$612,D$681,D$715,D$695,D$702,D$709,D$626,D$633,D$619))*AVERAGE(E$615,E$612,E$681,E$715,E$695,E$702,E$709,E$626,E$633,E$619)*0.0001)</f>
        <v>#DIV/0!</v>
      </c>
      <c r="CF715" s="334">
        <f>(CB715-CB709)/(AVERAGE(BY709:BY715)*((AVERAGE(D$615,D$612,D$681,D$715,D$695,D$702,D$709,D$626,D$633,D$619)*AVERAGE(E$615,E$612,E$681,E$715,E$695,E$702,E$709,E$626,E$633,E$619))-(BG715*BH715))*0.0001*(SUM(C709:C715)/24))</f>
        <v>-35961.735083968088</v>
      </c>
      <c r="CG715" s="208" t="e">
        <f>CC715/(AVERAGE(BY715,BY716)*AVERAGE((D$615,D$612,D$681,D$715,D$695,D$702,D$709,D$626,D$633,D$619))*0.01)</f>
        <v>#DIV/0!</v>
      </c>
      <c r="CH715" s="442"/>
      <c r="CI715" s="442">
        <v>68.099999999999994</v>
      </c>
      <c r="CJ715" s="442">
        <v>30.8</v>
      </c>
      <c r="CK715" s="442">
        <v>0</v>
      </c>
      <c r="CL715" s="442">
        <v>16</v>
      </c>
      <c r="CM715" s="442">
        <v>105</v>
      </c>
      <c r="CN715" s="442"/>
    </row>
    <row r="716" spans="1:92">
      <c r="CB716" s="1104"/>
    </row>
    <row r="717" spans="1:92">
      <c r="CB717" s="1104"/>
    </row>
    <row r="718" spans="1:92">
      <c r="CB718" s="1104"/>
    </row>
    <row r="719" spans="1:92">
      <c r="CB719" s="1104"/>
    </row>
  </sheetData>
  <mergeCells count="31">
    <mergeCell ref="AQ6:AR6"/>
    <mergeCell ref="BS7:BU7"/>
    <mergeCell ref="BP7:BR7"/>
    <mergeCell ref="BV6:BW6"/>
    <mergeCell ref="AH7:AJ7"/>
    <mergeCell ref="BV5:CN5"/>
    <mergeCell ref="BJ6:BN6"/>
    <mergeCell ref="CI6:CM6"/>
    <mergeCell ref="CB6:CC6"/>
    <mergeCell ref="CE6:CH6"/>
    <mergeCell ref="C6:C8"/>
    <mergeCell ref="A17:A18"/>
    <mergeCell ref="B5:B8"/>
    <mergeCell ref="A5:A8"/>
    <mergeCell ref="D6:G6"/>
    <mergeCell ref="AE7:AG7"/>
    <mergeCell ref="AX6:BB6"/>
    <mergeCell ref="BG6:BI6"/>
    <mergeCell ref="H6:L6"/>
    <mergeCell ref="M5:N7"/>
    <mergeCell ref="S5:U7"/>
    <mergeCell ref="P6:R6"/>
    <mergeCell ref="V6:X6"/>
    <mergeCell ref="D5:L5"/>
    <mergeCell ref="O5:O7"/>
    <mergeCell ref="BG5:BN5"/>
    <mergeCell ref="Y6:AC6"/>
    <mergeCell ref="V5:AC5"/>
    <mergeCell ref="AT6:AV6"/>
    <mergeCell ref="BD5:BF7"/>
    <mergeCell ref="AK6:AL6"/>
  </mergeCells>
  <phoneticPr fontId="0" type="noConversion"/>
  <pageMargins left="0.7" right="0.7" top="0.75" bottom="0.75" header="0.3" footer="0.3"/>
  <pageSetup paperSize="9" orientation="portrait" horizont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6"/>
  <sheetViews>
    <sheetView topLeftCell="O97" zoomScale="85" zoomScaleNormal="85" workbookViewId="0">
      <selection activeCell="AD111" sqref="AD111"/>
    </sheetView>
  </sheetViews>
  <sheetFormatPr defaultRowHeight="14.25"/>
  <cols>
    <col min="1" max="1" width="10.75" bestFit="1" customWidth="1"/>
    <col min="2" max="2" width="10.125" bestFit="1" customWidth="1"/>
    <col min="4" max="4" width="9.125" customWidth="1"/>
    <col min="11" max="11" width="10.125" bestFit="1" customWidth="1"/>
  </cols>
  <sheetData>
    <row r="1" spans="1:34">
      <c r="A1" s="110"/>
      <c r="B1" s="1212" t="s">
        <v>87</v>
      </c>
      <c r="C1" s="1212"/>
      <c r="D1" s="1212"/>
      <c r="E1" s="1212"/>
      <c r="F1" s="1212"/>
      <c r="G1" s="1212"/>
      <c r="H1" s="1212"/>
      <c r="I1" s="1213"/>
      <c r="J1" s="1213"/>
      <c r="K1" s="1221" t="s">
        <v>91</v>
      </c>
      <c r="L1" s="1221"/>
      <c r="M1" s="1221"/>
      <c r="N1" s="1221"/>
      <c r="O1" s="1221"/>
      <c r="P1" s="1221"/>
      <c r="Q1" s="1221"/>
      <c r="R1" s="1221"/>
      <c r="S1" s="1221"/>
      <c r="T1" s="1221"/>
      <c r="U1" s="1221"/>
      <c r="V1" s="1221"/>
      <c r="W1" s="1214" t="s">
        <v>109</v>
      </c>
      <c r="X1" s="1214"/>
      <c r="Y1" s="1214"/>
      <c r="Z1" s="1214"/>
      <c r="AA1" s="1214"/>
      <c r="AB1" s="1214"/>
      <c r="AC1" s="1214"/>
      <c r="AD1" s="1214"/>
      <c r="AE1" s="1214"/>
      <c r="AF1" s="1214"/>
      <c r="AG1" s="1214"/>
      <c r="AH1" s="1214"/>
    </row>
    <row r="2" spans="1:34">
      <c r="A2" s="1215" t="s">
        <v>9</v>
      </c>
      <c r="B2" s="1228"/>
      <c r="C2" s="1228"/>
      <c r="D2" s="1228"/>
      <c r="E2" s="1228"/>
      <c r="F2" s="1228"/>
      <c r="G2" s="1228"/>
      <c r="H2" s="1228"/>
      <c r="I2" s="1228"/>
      <c r="J2" s="1228"/>
      <c r="K2" s="1229"/>
      <c r="L2" s="1229"/>
      <c r="M2" s="1229"/>
      <c r="N2" s="1229"/>
      <c r="O2" s="1229"/>
      <c r="P2" s="1229"/>
      <c r="Q2" s="1229"/>
      <c r="R2" s="1229"/>
      <c r="S2" s="1229"/>
      <c r="T2" s="1229"/>
      <c r="U2" s="1229"/>
      <c r="V2" s="1229"/>
      <c r="W2" s="1228"/>
      <c r="X2" s="1228"/>
      <c r="Y2" s="1228"/>
      <c r="Z2" s="1228"/>
      <c r="AA2" s="1228"/>
      <c r="AB2" s="1228"/>
      <c r="AC2" s="1228"/>
      <c r="AD2" s="1228"/>
      <c r="AE2" s="1228"/>
      <c r="AF2" s="1228"/>
      <c r="AG2" s="1228"/>
      <c r="AH2" s="1228"/>
    </row>
    <row r="3" spans="1:34">
      <c r="A3" s="1215"/>
      <c r="B3" s="1228"/>
      <c r="C3" s="1228"/>
      <c r="D3" s="1228"/>
      <c r="E3" s="1228"/>
      <c r="F3" s="1228"/>
      <c r="G3" s="1228"/>
      <c r="H3" s="1228"/>
      <c r="I3" s="1228"/>
      <c r="J3" s="1228"/>
      <c r="K3" s="1229"/>
      <c r="L3" s="1229"/>
      <c r="M3" s="1229"/>
      <c r="N3" s="1229"/>
      <c r="O3" s="1229"/>
      <c r="P3" s="1229"/>
      <c r="Q3" s="1229"/>
      <c r="R3" s="1229"/>
      <c r="S3" s="1230" t="s">
        <v>88</v>
      </c>
      <c r="T3" s="1230"/>
      <c r="U3" s="1230"/>
      <c r="V3" s="1230"/>
      <c r="W3" s="1228"/>
      <c r="X3" s="1228"/>
      <c r="Y3" s="1228"/>
      <c r="Z3" s="1228"/>
      <c r="AA3" s="1228"/>
      <c r="AB3" s="1228"/>
      <c r="AC3" s="1228"/>
      <c r="AD3" s="1228"/>
      <c r="AE3" s="1231" t="s">
        <v>88</v>
      </c>
      <c r="AF3" s="1231"/>
      <c r="AG3" s="1231"/>
      <c r="AH3" s="1231"/>
    </row>
    <row r="4" spans="1:34">
      <c r="A4" s="1215"/>
      <c r="B4" s="1232" t="s">
        <v>29</v>
      </c>
      <c r="C4" s="1232" t="s">
        <v>30</v>
      </c>
      <c r="D4" s="1232" t="s">
        <v>31</v>
      </c>
      <c r="E4" s="1232" t="s">
        <v>32</v>
      </c>
      <c r="F4" s="1232" t="s">
        <v>33</v>
      </c>
      <c r="G4" s="1232" t="s">
        <v>34</v>
      </c>
      <c r="H4" s="1232" t="s">
        <v>103</v>
      </c>
      <c r="I4" s="1233" t="s">
        <v>129</v>
      </c>
      <c r="J4" s="1232" t="s">
        <v>35</v>
      </c>
      <c r="K4" s="1234" t="s">
        <v>29</v>
      </c>
      <c r="L4" s="1234" t="s">
        <v>30</v>
      </c>
      <c r="M4" s="1234" t="s">
        <v>31</v>
      </c>
      <c r="N4" s="1234" t="s">
        <v>33</v>
      </c>
      <c r="O4" s="1234" t="s">
        <v>34</v>
      </c>
      <c r="P4" s="1234" t="s">
        <v>103</v>
      </c>
      <c r="Q4" s="1235" t="s">
        <v>129</v>
      </c>
      <c r="R4" s="1234" t="s">
        <v>35</v>
      </c>
      <c r="S4" s="1234" t="s">
        <v>89</v>
      </c>
      <c r="T4" s="1234" t="s">
        <v>89</v>
      </c>
      <c r="U4" s="1234" t="s">
        <v>90</v>
      </c>
      <c r="V4" s="1234" t="s">
        <v>90</v>
      </c>
      <c r="W4" s="1232" t="s">
        <v>29</v>
      </c>
      <c r="X4" s="1232" t="s">
        <v>30</v>
      </c>
      <c r="Y4" s="1232" t="s">
        <v>31</v>
      </c>
      <c r="Z4" s="1232" t="s">
        <v>33</v>
      </c>
      <c r="AA4" s="1232" t="s">
        <v>34</v>
      </c>
      <c r="AB4" s="1232" t="s">
        <v>103</v>
      </c>
      <c r="AC4" s="1233" t="s">
        <v>129</v>
      </c>
      <c r="AD4" s="1232" t="s">
        <v>35</v>
      </c>
      <c r="AE4" s="1018" t="s">
        <v>89</v>
      </c>
      <c r="AF4" s="1018" t="s">
        <v>89</v>
      </c>
      <c r="AG4" s="1018" t="s">
        <v>90</v>
      </c>
      <c r="AH4" s="1018" t="s">
        <v>90</v>
      </c>
    </row>
    <row r="5" spans="1:34" s="125" customFormat="1">
      <c r="A5" s="1215"/>
      <c r="B5" s="1236" t="s">
        <v>47</v>
      </c>
      <c r="C5" s="1236" t="s">
        <v>48</v>
      </c>
      <c r="D5" s="1236" t="s">
        <v>49</v>
      </c>
      <c r="E5" s="1236" t="s">
        <v>50</v>
      </c>
      <c r="F5" s="1236" t="s">
        <v>51</v>
      </c>
      <c r="G5" s="1236" t="s">
        <v>51</v>
      </c>
      <c r="H5" s="1236" t="s">
        <v>51</v>
      </c>
      <c r="I5" s="1236" t="s">
        <v>105</v>
      </c>
      <c r="J5" s="1236" t="s">
        <v>51</v>
      </c>
      <c r="K5" s="1237" t="s">
        <v>47</v>
      </c>
      <c r="L5" s="1237" t="s">
        <v>48</v>
      </c>
      <c r="M5" s="1237" t="s">
        <v>49</v>
      </c>
      <c r="N5" s="1237" t="s">
        <v>50</v>
      </c>
      <c r="O5" s="1237" t="s">
        <v>51</v>
      </c>
      <c r="P5" s="1237" t="s">
        <v>51</v>
      </c>
      <c r="Q5" s="1237" t="s">
        <v>51</v>
      </c>
      <c r="R5" s="1237" t="s">
        <v>51</v>
      </c>
      <c r="S5" s="1237" t="s">
        <v>47</v>
      </c>
      <c r="T5" s="1237" t="s">
        <v>47</v>
      </c>
      <c r="U5" s="1237" t="s">
        <v>47</v>
      </c>
      <c r="V5" s="1237" t="s">
        <v>47</v>
      </c>
      <c r="W5" s="1236" t="s">
        <v>47</v>
      </c>
      <c r="X5" s="1236" t="s">
        <v>48</v>
      </c>
      <c r="Y5" s="1236" t="s">
        <v>49</v>
      </c>
      <c r="Z5" s="1236" t="s">
        <v>50</v>
      </c>
      <c r="AA5" s="1236" t="s">
        <v>51</v>
      </c>
      <c r="AB5" s="1236" t="s">
        <v>51</v>
      </c>
      <c r="AC5" s="1236" t="s">
        <v>51</v>
      </c>
      <c r="AD5" s="1236" t="s">
        <v>51</v>
      </c>
      <c r="AE5" s="1238" t="s">
        <v>47</v>
      </c>
      <c r="AF5" s="1238" t="s">
        <v>47</v>
      </c>
      <c r="AG5" s="1238" t="s">
        <v>47</v>
      </c>
      <c r="AH5" s="1238" t="s">
        <v>47</v>
      </c>
    </row>
    <row r="6" spans="1:34" s="125" customFormat="1">
      <c r="A6" s="1217">
        <v>41564</v>
      </c>
      <c r="B6" s="1239">
        <v>3.8</v>
      </c>
      <c r="C6" s="1239">
        <v>77.099999999999994</v>
      </c>
      <c r="D6" s="1240">
        <v>46300</v>
      </c>
      <c r="E6" s="1239"/>
      <c r="F6" s="1239"/>
      <c r="G6" s="1240">
        <v>6876</v>
      </c>
      <c r="H6" s="1239"/>
      <c r="I6" s="1239"/>
      <c r="J6" s="1239"/>
      <c r="K6" s="1229">
        <v>2.6</v>
      </c>
      <c r="L6" s="1241">
        <v>65.5</v>
      </c>
      <c r="M6" s="1229">
        <v>26400</v>
      </c>
      <c r="N6" s="1229"/>
      <c r="O6" s="1229">
        <v>1625</v>
      </c>
      <c r="P6" s="1229"/>
      <c r="Q6" s="1229"/>
      <c r="R6" s="1229"/>
      <c r="S6" s="1242">
        <v>36.631732878381662</v>
      </c>
      <c r="T6" s="1242">
        <v>30.188405797101471</v>
      </c>
      <c r="U6" s="1242">
        <v>45.325410044576167</v>
      </c>
      <c r="V6" s="1242">
        <v>39.766061775803813</v>
      </c>
      <c r="W6" s="1243">
        <v>2.7</v>
      </c>
      <c r="X6" s="1243">
        <v>64</v>
      </c>
      <c r="Y6" s="1243">
        <v>25500</v>
      </c>
      <c r="Z6" s="1243"/>
      <c r="AA6" s="1243">
        <v>3457</v>
      </c>
      <c r="AB6" s="1243"/>
      <c r="AC6" s="1243"/>
      <c r="AD6" s="1243"/>
      <c r="AE6" s="1244">
        <v>34.194491835242495</v>
      </c>
      <c r="AF6" s="1244">
        <v>33.097222222222243</v>
      </c>
      <c r="AG6" s="1244">
        <v>44.522788348225248</v>
      </c>
      <c r="AH6" s="1244">
        <v>43.597737235358281</v>
      </c>
    </row>
    <row r="7" spans="1:34" s="125" customFormat="1">
      <c r="A7" s="1217">
        <v>41569</v>
      </c>
      <c r="B7" s="1239">
        <v>3.32</v>
      </c>
      <c r="C7" s="1239">
        <v>78</v>
      </c>
      <c r="D7" s="1240"/>
      <c r="E7" s="1239">
        <v>5.84</v>
      </c>
      <c r="F7" s="1239"/>
      <c r="G7" s="1240"/>
      <c r="H7" s="1239"/>
      <c r="I7" s="1239"/>
      <c r="J7" s="1239"/>
      <c r="K7" s="1229">
        <v>2.46</v>
      </c>
      <c r="L7" s="1241">
        <v>66.62</v>
      </c>
      <c r="M7" s="1229"/>
      <c r="N7" s="1229"/>
      <c r="O7" s="1229"/>
      <c r="P7" s="1229"/>
      <c r="Q7" s="1229"/>
      <c r="R7" s="1229"/>
      <c r="S7" s="1242">
        <v>39.003223406893127</v>
      </c>
      <c r="T7" s="1242">
        <v>29.080287597363718</v>
      </c>
      <c r="U7" s="1242">
        <v>46.760579393494048</v>
      </c>
      <c r="V7" s="1242">
        <v>38.099607736926274</v>
      </c>
      <c r="W7" s="1243">
        <v>2.65</v>
      </c>
      <c r="X7" s="1243">
        <v>60.72</v>
      </c>
      <c r="Y7" s="1243"/>
      <c r="Z7" s="1243"/>
      <c r="AA7" s="1243"/>
      <c r="AB7" s="1243"/>
      <c r="AC7" s="1243"/>
      <c r="AD7" s="1243"/>
      <c r="AE7" s="1244">
        <v>34.292090255392999</v>
      </c>
      <c r="AF7" s="1244">
        <v>39.732688391038728</v>
      </c>
      <c r="AG7" s="1244">
        <v>47.727746672965843</v>
      </c>
      <c r="AH7" s="1244">
        <v>52.055875890626808</v>
      </c>
    </row>
    <row r="8" spans="1:34" s="125" customFormat="1">
      <c r="A8" s="1217">
        <v>41571</v>
      </c>
      <c r="B8" s="1239">
        <v>3.4</v>
      </c>
      <c r="C8" s="1239">
        <v>74.3</v>
      </c>
      <c r="D8" s="1240">
        <v>36400</v>
      </c>
      <c r="E8" s="1239"/>
      <c r="F8" s="1240">
        <v>44.2</v>
      </c>
      <c r="G8" s="1240">
        <v>4987</v>
      </c>
      <c r="H8" s="1240">
        <v>2189</v>
      </c>
      <c r="I8" s="1240">
        <v>43.4</v>
      </c>
      <c r="J8" s="1240">
        <v>179</v>
      </c>
      <c r="K8" s="1241">
        <v>2.6</v>
      </c>
      <c r="L8" s="1241">
        <v>65</v>
      </c>
      <c r="M8" s="1245">
        <v>22400</v>
      </c>
      <c r="N8" s="1245">
        <v>39.1</v>
      </c>
      <c r="O8" s="1245">
        <v>1631</v>
      </c>
      <c r="P8" s="1245">
        <v>445</v>
      </c>
      <c r="Q8" s="1245">
        <v>76.2</v>
      </c>
      <c r="R8" s="1245">
        <v>113</v>
      </c>
      <c r="S8" s="1242">
        <v>34.525308486527322</v>
      </c>
      <c r="T8" s="1242">
        <v>31.651428571428575</v>
      </c>
      <c r="U8" s="1242">
        <v>44.059321375749583</v>
      </c>
      <c r="V8" s="1242">
        <v>41.603917783628091</v>
      </c>
      <c r="W8" s="1239">
        <v>2.7</v>
      </c>
      <c r="X8" s="1243">
        <v>62.6</v>
      </c>
      <c r="Y8" s="1243">
        <v>22700</v>
      </c>
      <c r="Z8" s="1243">
        <v>39</v>
      </c>
      <c r="AA8" s="1243">
        <v>3425</v>
      </c>
      <c r="AB8" s="1243">
        <v>660</v>
      </c>
      <c r="AC8" s="1246">
        <v>92.2</v>
      </c>
      <c r="AD8" s="1246">
        <v>85.7</v>
      </c>
      <c r="AE8" s="1244">
        <v>32.007051120624524</v>
      </c>
      <c r="AF8" s="1244">
        <v>36.037433155080222</v>
      </c>
      <c r="AG8" s="1244">
        <v>44.05270117709582</v>
      </c>
      <c r="AH8" s="1244">
        <v>47.369059590262914</v>
      </c>
    </row>
    <row r="9" spans="1:34" s="125" customFormat="1">
      <c r="A9" s="1217">
        <v>41577</v>
      </c>
      <c r="B9" s="1239">
        <v>3.32</v>
      </c>
      <c r="C9" s="1239">
        <v>76.739999999999995</v>
      </c>
      <c r="D9" s="1240">
        <v>37700</v>
      </c>
      <c r="E9" s="1239">
        <v>6.48</v>
      </c>
      <c r="F9" s="1239"/>
      <c r="G9" s="1240">
        <v>3605</v>
      </c>
      <c r="H9" s="1239"/>
      <c r="I9" s="1239"/>
      <c r="J9" s="1239"/>
      <c r="K9" s="1241">
        <v>2.39</v>
      </c>
      <c r="L9" s="1241">
        <v>66.930000000000007</v>
      </c>
      <c r="M9" s="1245">
        <v>25600</v>
      </c>
      <c r="N9" s="1241"/>
      <c r="O9" s="1245">
        <v>1336</v>
      </c>
      <c r="P9" s="1241"/>
      <c r="Q9" s="1241"/>
      <c r="R9" s="1241"/>
      <c r="S9" s="1242">
        <v>37.483651582526797</v>
      </c>
      <c r="T9" s="1242">
        <v>28.309646205019646</v>
      </c>
      <c r="U9" s="1242">
        <v>45.155203696567384</v>
      </c>
      <c r="V9" s="1242">
        <v>37.106965612409752</v>
      </c>
      <c r="W9" s="1239">
        <v>2.5299999999999998</v>
      </c>
      <c r="X9" s="1239">
        <v>62.37</v>
      </c>
      <c r="Y9" s="1240">
        <v>22300</v>
      </c>
      <c r="Z9" s="1239"/>
      <c r="AA9" s="1240">
        <v>2479</v>
      </c>
      <c r="AB9" s="1239"/>
      <c r="AC9" s="1239"/>
      <c r="AD9" s="1239"/>
      <c r="AE9" s="1244">
        <v>33.821606068532567</v>
      </c>
      <c r="AF9" s="1244">
        <v>36.997076800425198</v>
      </c>
      <c r="AG9" s="1244">
        <v>45.898043969149803</v>
      </c>
      <c r="AH9" s="1244">
        <v>48.49404498561475</v>
      </c>
    </row>
    <row r="10" spans="1:34" s="125" customFormat="1">
      <c r="A10" s="1217">
        <v>41583</v>
      </c>
      <c r="B10" s="1239">
        <v>2.91</v>
      </c>
      <c r="C10" s="1239">
        <v>73.23</v>
      </c>
      <c r="D10" s="1240"/>
      <c r="E10" s="1239">
        <v>7.15</v>
      </c>
      <c r="F10" s="1239"/>
      <c r="G10" s="1240"/>
      <c r="H10" s="1239"/>
      <c r="I10" s="1239"/>
      <c r="J10" s="1239"/>
      <c r="K10" s="1229">
        <v>2.38</v>
      </c>
      <c r="L10" s="1229">
        <v>66.86</v>
      </c>
      <c r="M10" s="1229"/>
      <c r="N10" s="1229"/>
      <c r="O10" s="1229"/>
      <c r="P10" s="1229"/>
      <c r="Q10" s="1229"/>
      <c r="R10" s="1229"/>
      <c r="S10" s="1242">
        <v>35.220468154599885</v>
      </c>
      <c r="T10" s="1242">
        <v>27.866626433313215</v>
      </c>
      <c r="U10" s="1242">
        <v>43.082206463191376</v>
      </c>
      <c r="V10" s="1242">
        <v>36.620837680942522</v>
      </c>
      <c r="W10" s="1243">
        <v>2.5099999999999998</v>
      </c>
      <c r="X10" s="1243">
        <v>64.37</v>
      </c>
      <c r="Y10" s="1243"/>
      <c r="Z10" s="1243"/>
      <c r="AA10" s="1243"/>
      <c r="AB10" s="1243"/>
      <c r="AC10" s="1243"/>
      <c r="AD10" s="1243"/>
      <c r="AE10" s="1244">
        <v>31.682090364725095</v>
      </c>
      <c r="AF10" s="1244">
        <v>32.907662082514719</v>
      </c>
      <c r="AG10" s="1244">
        <v>42.208767419375171</v>
      </c>
      <c r="AH10" s="1244">
        <v>43.245498498606644</v>
      </c>
    </row>
    <row r="11" spans="1:34" s="125" customFormat="1">
      <c r="A11" s="1217">
        <v>41585</v>
      </c>
      <c r="B11" s="1239">
        <v>3.1</v>
      </c>
      <c r="C11" s="1239">
        <v>70.900000000000006</v>
      </c>
      <c r="D11" s="1240">
        <v>34100</v>
      </c>
      <c r="E11" s="1239"/>
      <c r="F11" s="1240">
        <v>53.1</v>
      </c>
      <c r="G11" s="1240">
        <v>2858</v>
      </c>
      <c r="H11" s="1240">
        <v>1075</v>
      </c>
      <c r="I11" s="1240">
        <v>48.8</v>
      </c>
      <c r="J11" s="1240">
        <v>181</v>
      </c>
      <c r="K11" s="1241">
        <v>2.5</v>
      </c>
      <c r="L11" s="1241">
        <v>65.5</v>
      </c>
      <c r="M11" s="1245">
        <v>24000</v>
      </c>
      <c r="N11" s="1245">
        <v>44</v>
      </c>
      <c r="O11" s="1245">
        <v>1576</v>
      </c>
      <c r="P11" s="1245">
        <v>410</v>
      </c>
      <c r="Q11" s="1245">
        <v>76</v>
      </c>
      <c r="R11" s="1245">
        <v>110</v>
      </c>
      <c r="S11" s="1242">
        <v>30.400890868596882</v>
      </c>
      <c r="T11" s="1242">
        <v>28.828985507246372</v>
      </c>
      <c r="U11" s="1242">
        <v>39.576098824233163</v>
      </c>
      <c r="V11" s="1242">
        <v>38.211416784516572</v>
      </c>
      <c r="W11" s="1239">
        <v>2.7</v>
      </c>
      <c r="X11" s="1239">
        <v>61.6</v>
      </c>
      <c r="Y11" s="1240">
        <v>23800</v>
      </c>
      <c r="Z11" s="1240">
        <v>47.7</v>
      </c>
      <c r="AA11" s="1240">
        <v>3143</v>
      </c>
      <c r="AB11" s="1240">
        <v>683</v>
      </c>
      <c r="AC11" s="1240">
        <v>91.3</v>
      </c>
      <c r="AD11" s="1240">
        <v>89.6</v>
      </c>
      <c r="AE11" s="1244">
        <v>24.832962138084628</v>
      </c>
      <c r="AF11" s="1244">
        <v>36.057291666666657</v>
      </c>
      <c r="AG11" s="1244">
        <v>38.627766451581422</v>
      </c>
      <c r="AH11" s="1244">
        <v>47.79218469722273</v>
      </c>
    </row>
    <row r="12" spans="1:34" s="125" customFormat="1">
      <c r="A12" s="1217">
        <v>41591</v>
      </c>
      <c r="B12" s="1239">
        <v>2.98</v>
      </c>
      <c r="C12" s="1239">
        <v>76.64</v>
      </c>
      <c r="D12" s="1240"/>
      <c r="E12" s="1239">
        <v>6.55</v>
      </c>
      <c r="F12" s="1239"/>
      <c r="G12" s="1240"/>
      <c r="H12" s="1240"/>
      <c r="I12" s="1240"/>
      <c r="J12" s="1240"/>
      <c r="K12" s="1241">
        <v>2.41</v>
      </c>
      <c r="L12" s="1241">
        <v>68.38</v>
      </c>
      <c r="M12" s="1245"/>
      <c r="N12" s="1241"/>
      <c r="O12" s="1245"/>
      <c r="P12" s="1241"/>
      <c r="Q12" s="1241"/>
      <c r="R12" s="1241"/>
      <c r="S12" s="1241">
        <v>31.920903954802263</v>
      </c>
      <c r="T12" s="1241">
        <v>22.991777356103761</v>
      </c>
      <c r="U12" s="1241">
        <v>38.463336582014271</v>
      </c>
      <c r="V12" s="1241">
        <v>30.392303180573379</v>
      </c>
      <c r="W12" s="1239">
        <v>2.56</v>
      </c>
      <c r="X12" s="1239">
        <v>61.39</v>
      </c>
      <c r="Y12" s="1240"/>
      <c r="Z12" s="1239"/>
      <c r="AA12" s="1239"/>
      <c r="AB12" s="1239"/>
      <c r="AC12" s="1239"/>
      <c r="AD12" s="1239"/>
      <c r="AE12" s="1239">
        <v>27.683615819209049</v>
      </c>
      <c r="AF12" s="1239">
        <v>36.933436933436944</v>
      </c>
      <c r="AG12" s="1239">
        <v>41.315230338945717</v>
      </c>
      <c r="AH12" s="1239">
        <v>48.82146322992326</v>
      </c>
    </row>
    <row r="13" spans="1:34" s="125" customFormat="1">
      <c r="A13" s="1217">
        <v>41592</v>
      </c>
      <c r="B13" s="1239">
        <v>3.7</v>
      </c>
      <c r="C13" s="1239">
        <v>76.599999999999994</v>
      </c>
      <c r="D13" s="1240">
        <v>38000</v>
      </c>
      <c r="E13" s="1239"/>
      <c r="F13" s="1239"/>
      <c r="G13" s="1240">
        <v>4768</v>
      </c>
      <c r="H13" s="1240"/>
      <c r="I13" s="1240"/>
      <c r="J13" s="1240"/>
      <c r="K13" s="1241">
        <v>2.5</v>
      </c>
      <c r="L13" s="1241">
        <v>66.7</v>
      </c>
      <c r="M13" s="1245">
        <v>24900</v>
      </c>
      <c r="N13" s="1241"/>
      <c r="O13" s="1245">
        <v>1625</v>
      </c>
      <c r="P13" s="1241"/>
      <c r="Q13" s="1241"/>
      <c r="R13" s="1241"/>
      <c r="S13" s="1241">
        <v>28.263988522238179</v>
      </c>
      <c r="T13" s="1241">
        <v>27.43543543543543</v>
      </c>
      <c r="U13" s="1241">
        <v>36.906060900275421</v>
      </c>
      <c r="V13" s="1241">
        <v>36.177324008960689</v>
      </c>
      <c r="W13" s="1239">
        <v>2.6</v>
      </c>
      <c r="X13" s="1239">
        <v>61.6</v>
      </c>
      <c r="Y13" s="1240">
        <v>24500</v>
      </c>
      <c r="Z13" s="1239"/>
      <c r="AA13" s="1240">
        <v>3352</v>
      </c>
      <c r="AB13" s="1239"/>
      <c r="AC13" s="1239"/>
      <c r="AD13" s="1239"/>
      <c r="AE13" s="1239">
        <v>25.394548063127704</v>
      </c>
      <c r="AF13" s="1239">
        <v>37.072916666666657</v>
      </c>
      <c r="AG13" s="1239">
        <v>39.399548508474425</v>
      </c>
      <c r="AH13" s="1239">
        <v>48.885643581764157</v>
      </c>
    </row>
    <row r="14" spans="1:34" s="125" customFormat="1">
      <c r="A14" s="1217">
        <v>41598</v>
      </c>
      <c r="B14" s="1239">
        <v>3.22</v>
      </c>
      <c r="C14" s="1239">
        <v>77.28</v>
      </c>
      <c r="D14" s="1240"/>
      <c r="E14" s="1239">
        <v>6.27</v>
      </c>
      <c r="F14" s="1239"/>
      <c r="G14" s="1240"/>
      <c r="H14" s="1240"/>
      <c r="I14" s="1240"/>
      <c r="J14" s="1240"/>
      <c r="K14" s="1241">
        <v>2.42</v>
      </c>
      <c r="L14" s="1241">
        <v>67.5</v>
      </c>
      <c r="M14" s="1245"/>
      <c r="N14" s="1241"/>
      <c r="O14" s="1245"/>
      <c r="P14" s="1245"/>
      <c r="Q14" s="1241"/>
      <c r="R14" s="1245"/>
      <c r="S14" s="1241">
        <v>28.125928125928127</v>
      </c>
      <c r="T14" s="1241">
        <v>25.889230769230775</v>
      </c>
      <c r="U14" s="1241">
        <v>36.092158870566017</v>
      </c>
      <c r="V14" s="1241">
        <v>34.103367981177087</v>
      </c>
      <c r="W14" s="1239">
        <v>2.59</v>
      </c>
      <c r="X14" s="1239">
        <v>60.76</v>
      </c>
      <c r="Y14" s="1240"/>
      <c r="Z14" s="1240"/>
      <c r="AA14" s="1239"/>
      <c r="AB14" s="1239"/>
      <c r="AC14" s="1239"/>
      <c r="AD14" s="1239"/>
      <c r="AE14" s="1239">
        <v>23.076923076923084</v>
      </c>
      <c r="AF14" s="1239">
        <v>38.618756371049955</v>
      </c>
      <c r="AG14" s="1239">
        <v>38.432355641302621</v>
      </c>
      <c r="AH14" s="1239">
        <v>50.871718485457166</v>
      </c>
    </row>
    <row r="15" spans="1:34" s="125" customFormat="1">
      <c r="A15" s="1217">
        <v>41599</v>
      </c>
      <c r="B15" s="1239">
        <v>3.2</v>
      </c>
      <c r="C15" s="1239">
        <v>76.3</v>
      </c>
      <c r="D15" s="1240">
        <v>39700</v>
      </c>
      <c r="E15" s="1239"/>
      <c r="F15" s="1240">
        <v>45.8</v>
      </c>
      <c r="G15" s="1240">
        <v>3973</v>
      </c>
      <c r="H15" s="1240">
        <v>2017</v>
      </c>
      <c r="I15" s="1240">
        <v>39</v>
      </c>
      <c r="J15" s="1240">
        <v>215</v>
      </c>
      <c r="K15" s="1241">
        <v>2.4</v>
      </c>
      <c r="L15" s="1241">
        <v>66.8</v>
      </c>
      <c r="M15" s="1245">
        <v>25400</v>
      </c>
      <c r="N15" s="1245">
        <v>39.799999999999997</v>
      </c>
      <c r="O15" s="1245">
        <v>1770</v>
      </c>
      <c r="P15" s="1245">
        <v>523</v>
      </c>
      <c r="Q15" s="1245">
        <v>80.7</v>
      </c>
      <c r="R15" s="1245">
        <v>111</v>
      </c>
      <c r="S15" s="1241">
        <v>27.16236722306526</v>
      </c>
      <c r="T15" s="1241">
        <v>26.834337349397565</v>
      </c>
      <c r="U15" s="1241">
        <v>35.73348123077519</v>
      </c>
      <c r="V15" s="1241">
        <v>35.444052027364734</v>
      </c>
      <c r="W15" s="1239">
        <v>2.6</v>
      </c>
      <c r="X15" s="1239">
        <v>62.1</v>
      </c>
      <c r="Y15" s="1240">
        <v>23500</v>
      </c>
      <c r="Z15" s="1240">
        <v>39.4</v>
      </c>
      <c r="AA15" s="1240">
        <v>3388</v>
      </c>
      <c r="AB15" s="1240">
        <v>777</v>
      </c>
      <c r="AC15" s="1240">
        <v>88.2</v>
      </c>
      <c r="AD15" s="1240">
        <v>101</v>
      </c>
      <c r="AE15" s="1239">
        <v>21.092564491654027</v>
      </c>
      <c r="AF15" s="1239">
        <v>35.907651715039549</v>
      </c>
      <c r="AG15" s="1239">
        <v>35.276496254497012</v>
      </c>
      <c r="AH15" s="1239">
        <v>47.428511425378161</v>
      </c>
    </row>
    <row r="16" spans="1:34" s="125" customFormat="1">
      <c r="A16" s="1217">
        <v>41604</v>
      </c>
      <c r="B16" s="1239">
        <v>3.96</v>
      </c>
      <c r="C16" s="1239">
        <v>79.38</v>
      </c>
      <c r="D16" s="1240"/>
      <c r="E16" s="1239">
        <v>6.12</v>
      </c>
      <c r="F16" s="1239"/>
      <c r="G16" s="1240"/>
      <c r="H16" s="1239"/>
      <c r="I16" s="1239"/>
      <c r="J16" s="1239"/>
      <c r="K16" s="1241">
        <v>2.37</v>
      </c>
      <c r="L16" s="1241">
        <v>68.44</v>
      </c>
      <c r="M16" s="1245"/>
      <c r="N16" s="1241"/>
      <c r="O16" s="1245"/>
      <c r="P16" s="1245"/>
      <c r="Q16" s="1241"/>
      <c r="R16" s="1245"/>
      <c r="S16" s="1241">
        <v>28.420416792509812</v>
      </c>
      <c r="T16" s="1241">
        <v>23.754752851710982</v>
      </c>
      <c r="U16" s="1241">
        <v>35.487223952478644</v>
      </c>
      <c r="V16" s="1241">
        <v>31.282185037216358</v>
      </c>
      <c r="W16" s="1239">
        <v>2.5499999999999998</v>
      </c>
      <c r="X16" s="1239">
        <v>61.54</v>
      </c>
      <c r="Y16" s="1240"/>
      <c r="Z16" s="1239"/>
      <c r="AA16" s="1239"/>
      <c r="AB16" s="1239"/>
      <c r="AC16" s="1239"/>
      <c r="AD16" s="1239"/>
      <c r="AE16" s="1239">
        <v>22.983992751434617</v>
      </c>
      <c r="AF16" s="1239">
        <v>37.433697347893883</v>
      </c>
      <c r="AG16" s="1239">
        <v>37.585563215866898</v>
      </c>
      <c r="AH16" s="1239">
        <v>49.295728495850355</v>
      </c>
    </row>
    <row r="17" spans="1:34" s="125" customFormat="1">
      <c r="A17" s="1217">
        <v>41606</v>
      </c>
      <c r="B17" s="1239">
        <v>3.7</v>
      </c>
      <c r="C17" s="1239">
        <v>76.7</v>
      </c>
      <c r="D17" s="1240">
        <v>39900</v>
      </c>
      <c r="E17" s="1239"/>
      <c r="F17" s="1239"/>
      <c r="G17" s="1240">
        <v>3793</v>
      </c>
      <c r="H17" s="1240"/>
      <c r="I17" s="1240"/>
      <c r="J17" s="1240"/>
      <c r="K17" s="1241">
        <v>2.4</v>
      </c>
      <c r="L17" s="1241">
        <v>66.599999999999994</v>
      </c>
      <c r="M17" s="1245">
        <v>22500</v>
      </c>
      <c r="N17" s="1241"/>
      <c r="O17" s="1245">
        <v>1479</v>
      </c>
      <c r="P17" s="1245"/>
      <c r="Q17" s="1241"/>
      <c r="R17" s="1245"/>
      <c r="S17" s="1241">
        <v>28.336816960286662</v>
      </c>
      <c r="T17" s="1241">
        <v>27.565868263473025</v>
      </c>
      <c r="U17" s="1241">
        <v>37.040537279605992</v>
      </c>
      <c r="V17" s="1241">
        <v>36.363222741267997</v>
      </c>
      <c r="W17" s="1239">
        <v>2.5</v>
      </c>
      <c r="X17" s="1239">
        <v>64.400000000000006</v>
      </c>
      <c r="Y17" s="1240">
        <v>24100</v>
      </c>
      <c r="Z17" s="1239"/>
      <c r="AA17" s="1240">
        <v>2971</v>
      </c>
      <c r="AB17" s="1239"/>
      <c r="AC17" s="1239"/>
      <c r="AD17" s="1239"/>
      <c r="AE17" s="1239">
        <v>25.350851000298601</v>
      </c>
      <c r="AF17" s="1239">
        <v>32.042134831460636</v>
      </c>
      <c r="AG17" s="1239">
        <v>36.583624261865388</v>
      </c>
      <c r="AH17" s="1239">
        <v>42.268042306727125</v>
      </c>
    </row>
    <row r="18" spans="1:34" s="125" customFormat="1">
      <c r="A18" s="1217">
        <v>41611</v>
      </c>
      <c r="B18" s="1239">
        <v>3.17</v>
      </c>
      <c r="C18" s="1239">
        <v>77.39</v>
      </c>
      <c r="D18" s="1240"/>
      <c r="E18" s="1239">
        <v>6.32</v>
      </c>
      <c r="F18" s="1240"/>
      <c r="G18" s="1240"/>
      <c r="H18" s="1240"/>
      <c r="I18" s="1240"/>
      <c r="J18" s="1240"/>
      <c r="K18" s="1241">
        <v>2.33</v>
      </c>
      <c r="L18" s="1241">
        <v>68.099999999999994</v>
      </c>
      <c r="M18" s="1245"/>
      <c r="N18" s="1241"/>
      <c r="O18" s="1245"/>
      <c r="P18" s="1245"/>
      <c r="Q18" s="1241"/>
      <c r="R18" s="1245"/>
      <c r="S18" s="1241">
        <v>29.945880938063752</v>
      </c>
      <c r="T18" s="1241">
        <v>25.12852664576808</v>
      </c>
      <c r="U18" s="1241">
        <v>37.323486413922723</v>
      </c>
      <c r="V18" s="1241">
        <v>33.013461881559827</v>
      </c>
      <c r="W18" s="1239">
        <v>2.6</v>
      </c>
      <c r="X18" s="1239">
        <v>61.31</v>
      </c>
      <c r="Y18" s="1240"/>
      <c r="Z18" s="1239"/>
      <c r="AA18" s="1239"/>
      <c r="AB18" s="1239"/>
      <c r="AC18" s="1239"/>
      <c r="AD18" s="1239"/>
      <c r="AE18" s="1239">
        <v>21.828021647624784</v>
      </c>
      <c r="AF18" s="1239">
        <v>38.268286378909309</v>
      </c>
      <c r="AG18" s="1239">
        <v>37.03394827915124</v>
      </c>
      <c r="AH18" s="1239">
        <v>50.276270927149753</v>
      </c>
    </row>
    <row r="19" spans="1:34" s="125" customFormat="1">
      <c r="A19" s="1217">
        <v>41613</v>
      </c>
      <c r="B19" s="1239">
        <v>3.1</v>
      </c>
      <c r="C19" s="1239">
        <v>75.599999999999994</v>
      </c>
      <c r="D19" s="1240">
        <v>34000</v>
      </c>
      <c r="E19" s="1239"/>
      <c r="F19" s="1240">
        <v>46</v>
      </c>
      <c r="G19" s="1240">
        <v>4075</v>
      </c>
      <c r="H19" s="1240">
        <v>2046</v>
      </c>
      <c r="I19" s="1240">
        <v>40.700000000000003</v>
      </c>
      <c r="J19" s="1240">
        <v>170</v>
      </c>
      <c r="K19" s="1241">
        <v>2.4</v>
      </c>
      <c r="L19" s="1241">
        <v>67.5</v>
      </c>
      <c r="M19" s="1245">
        <v>24700</v>
      </c>
      <c r="N19" s="1245">
        <v>40.299999999999997</v>
      </c>
      <c r="O19" s="1245">
        <v>1666</v>
      </c>
      <c r="P19" s="1245">
        <v>591</v>
      </c>
      <c r="Q19" s="1245">
        <v>70.900000000000006</v>
      </c>
      <c r="R19" s="1245">
        <v>92.5</v>
      </c>
      <c r="S19" s="1241">
        <v>27.360774818401936</v>
      </c>
      <c r="T19" s="1241">
        <v>26.159999999999982</v>
      </c>
      <c r="U19" s="1241">
        <v>35.486596408543591</v>
      </c>
      <c r="V19" s="1241">
        <v>34.420146838241081</v>
      </c>
      <c r="W19" s="1239">
        <v>2.6</v>
      </c>
      <c r="X19" s="1239">
        <v>62.3</v>
      </c>
      <c r="Y19" s="1240">
        <v>22700</v>
      </c>
      <c r="Z19" s="1240">
        <v>44.4</v>
      </c>
      <c r="AA19" s="1240">
        <v>2970</v>
      </c>
      <c r="AB19" s="1240">
        <v>822</v>
      </c>
      <c r="AC19" s="1240">
        <v>85.1</v>
      </c>
      <c r="AD19" s="1240">
        <v>77.3</v>
      </c>
      <c r="AE19" s="1239">
        <v>21.30750605326876</v>
      </c>
      <c r="AF19" s="1239">
        <v>36.344827586206883</v>
      </c>
      <c r="AG19" s="1239">
        <v>35.494561026270944</v>
      </c>
      <c r="AH19" s="1239">
        <v>47.820883116506003</v>
      </c>
    </row>
    <row r="20" spans="1:34" s="125" customFormat="1">
      <c r="A20" s="1217">
        <v>41618</v>
      </c>
      <c r="B20" s="1239">
        <v>2.77</v>
      </c>
      <c r="C20" s="1239">
        <v>77.25</v>
      </c>
      <c r="D20" s="1240"/>
      <c r="E20" s="1239">
        <v>6.15</v>
      </c>
      <c r="F20" s="1240"/>
      <c r="G20" s="1240"/>
      <c r="H20" s="1240"/>
      <c r="I20" s="1240"/>
      <c r="J20" s="1240"/>
      <c r="K20" s="1241">
        <v>2.4</v>
      </c>
      <c r="L20" s="1241">
        <v>66.55</v>
      </c>
      <c r="M20" s="1245"/>
      <c r="N20" s="1241"/>
      <c r="O20" s="1245"/>
      <c r="P20" s="1245"/>
      <c r="Q20" s="1241"/>
      <c r="R20" s="1245"/>
      <c r="S20" s="1241">
        <v>27.051671732522799</v>
      </c>
      <c r="T20" s="1241">
        <v>29.45889387144992</v>
      </c>
      <c r="U20" s="1241">
        <v>36.459985783458883</v>
      </c>
      <c r="V20" s="1241">
        <v>38.556742934204912</v>
      </c>
      <c r="W20" s="1239">
        <v>2.4900000000000002</v>
      </c>
      <c r="X20" s="1239">
        <v>61.68</v>
      </c>
      <c r="Y20" s="1240"/>
      <c r="Z20" s="1239"/>
      <c r="AA20" s="1240"/>
      <c r="AB20" s="1240"/>
      <c r="AC20" s="1239"/>
      <c r="AD20" s="1239"/>
      <c r="AE20" s="1239">
        <v>24.316109422492396</v>
      </c>
      <c r="AF20" s="1239">
        <v>38.42379958246346</v>
      </c>
      <c r="AG20" s="1239">
        <v>38.901335390546713</v>
      </c>
      <c r="AH20" s="1239">
        <v>50.290298390743239</v>
      </c>
    </row>
    <row r="21" spans="1:34" s="125" customFormat="1">
      <c r="A21" s="1217">
        <v>41620</v>
      </c>
      <c r="B21" s="1239">
        <v>2.7</v>
      </c>
      <c r="C21" s="1239">
        <v>78.400000000000006</v>
      </c>
      <c r="D21" s="1240">
        <v>37400</v>
      </c>
      <c r="E21" s="1239"/>
      <c r="F21" s="1240"/>
      <c r="G21" s="1240">
        <v>3459</v>
      </c>
      <c r="H21" s="1240"/>
      <c r="I21" s="1240"/>
      <c r="J21" s="1240"/>
      <c r="K21" s="1241">
        <v>2.2999999999999998</v>
      </c>
      <c r="L21" s="1241">
        <v>67.8</v>
      </c>
      <c r="M21" s="1245">
        <v>23700</v>
      </c>
      <c r="N21" s="1241"/>
      <c r="O21" s="1245"/>
      <c r="P21" s="1245"/>
      <c r="Q21" s="1241"/>
      <c r="R21" s="1245"/>
      <c r="S21" s="1241">
        <v>29.230769230769234</v>
      </c>
      <c r="T21" s="1241">
        <v>29.049689440993788</v>
      </c>
      <c r="U21" s="1241">
        <v>37.810692301710283</v>
      </c>
      <c r="V21" s="1241">
        <v>37.651566271345345</v>
      </c>
      <c r="W21" s="1239">
        <v>2.2999999999999998</v>
      </c>
      <c r="X21" s="1239">
        <v>64.5</v>
      </c>
      <c r="Y21" s="1240">
        <v>22400</v>
      </c>
      <c r="Z21" s="1240"/>
      <c r="AA21" s="1240">
        <v>2765</v>
      </c>
      <c r="AB21" s="1240"/>
      <c r="AC21" s="1240"/>
      <c r="AD21" s="1240"/>
      <c r="AE21" s="1239">
        <v>29.230769230769234</v>
      </c>
      <c r="AF21" s="1239">
        <v>35.645070422535198</v>
      </c>
      <c r="AG21" s="1239">
        <v>40.837605508264183</v>
      </c>
      <c r="AH21" s="1239">
        <v>46.19989945114343</v>
      </c>
    </row>
    <row r="22" spans="1:34" s="125" customFormat="1">
      <c r="A22" s="1217">
        <v>41625</v>
      </c>
      <c r="B22" s="1239">
        <v>2.4900000000000002</v>
      </c>
      <c r="C22" s="1239">
        <v>77.400000000000006</v>
      </c>
      <c r="D22" s="1240"/>
      <c r="E22" s="1239"/>
      <c r="F22" s="1240"/>
      <c r="G22" s="1240"/>
      <c r="H22" s="1240"/>
      <c r="I22" s="1240"/>
      <c r="J22" s="1240"/>
      <c r="K22" s="1241">
        <v>2.16</v>
      </c>
      <c r="L22" s="1241">
        <v>66.16</v>
      </c>
      <c r="M22" s="1245"/>
      <c r="N22" s="1241"/>
      <c r="O22" s="1245"/>
      <c r="P22" s="1245"/>
      <c r="Q22" s="1241"/>
      <c r="R22" s="1245"/>
      <c r="S22" s="1241">
        <v>32.521087160262404</v>
      </c>
      <c r="T22" s="1241">
        <v>32.712765957446791</v>
      </c>
      <c r="U22" s="1241">
        <v>42.193385038494888</v>
      </c>
      <c r="V22" s="1241">
        <v>42.357588964711624</v>
      </c>
      <c r="W22" s="1239">
        <v>2.1800000000000002</v>
      </c>
      <c r="X22" s="1239">
        <v>64.94</v>
      </c>
      <c r="Y22" s="1240"/>
      <c r="Z22" s="1240"/>
      <c r="AA22" s="1240"/>
      <c r="AB22" s="1240"/>
      <c r="AC22" s="1240"/>
      <c r="AD22" s="1240"/>
      <c r="AE22" s="1239">
        <v>31.896282411746316</v>
      </c>
      <c r="AF22" s="1239">
        <v>35.054192812321702</v>
      </c>
      <c r="AG22" s="1239">
        <v>42.733970993380879</v>
      </c>
      <c r="AH22" s="1239">
        <v>45.389347160846455</v>
      </c>
    </row>
    <row r="23" spans="1:34" s="125" customFormat="1">
      <c r="A23" s="1217">
        <v>41641</v>
      </c>
      <c r="B23" s="1239">
        <v>2.57</v>
      </c>
      <c r="C23" s="1239">
        <v>77.31</v>
      </c>
      <c r="D23" s="1240"/>
      <c r="E23" s="1239">
        <v>5.95</v>
      </c>
      <c r="F23" s="1240"/>
      <c r="G23" s="1240"/>
      <c r="H23" s="1240"/>
      <c r="I23" s="1240"/>
      <c r="J23" s="1240"/>
      <c r="K23" s="1241">
        <v>2</v>
      </c>
      <c r="L23" s="1241">
        <v>66.819999999999993</v>
      </c>
      <c r="M23" s="1245"/>
      <c r="N23" s="1241"/>
      <c r="O23" s="1245"/>
      <c r="P23" s="1245"/>
      <c r="Q23" s="1241"/>
      <c r="R23" s="1245"/>
      <c r="S23" s="1241">
        <v>35.233160621761662</v>
      </c>
      <c r="T23" s="1241">
        <v>31.588306208559391</v>
      </c>
      <c r="U23" s="1241">
        <v>44.014693118408744</v>
      </c>
      <c r="V23" s="1241">
        <v>40.864033076621766</v>
      </c>
      <c r="W23" s="1239">
        <v>2.16</v>
      </c>
      <c r="X23" s="1239">
        <v>66.92</v>
      </c>
      <c r="Y23" s="1240"/>
      <c r="Z23" s="1239"/>
      <c r="AA23" s="1240"/>
      <c r="AB23" s="1240"/>
      <c r="AC23" s="1239"/>
      <c r="AD23" s="1239"/>
      <c r="AE23" s="1239">
        <v>30.051813471502587</v>
      </c>
      <c r="AF23" s="1239">
        <v>31.381499395405076</v>
      </c>
      <c r="AG23" s="1239">
        <v>39.445380493304782</v>
      </c>
      <c r="AH23" s="1239">
        <v>40.596498616324602</v>
      </c>
    </row>
    <row r="24" spans="1:34" s="125" customFormat="1">
      <c r="A24" s="1217">
        <v>41648</v>
      </c>
      <c r="B24" s="1239">
        <v>1.6</v>
      </c>
      <c r="C24" s="1239">
        <v>79.900000000000006</v>
      </c>
      <c r="D24" s="1240">
        <v>24500</v>
      </c>
      <c r="E24" s="1239"/>
      <c r="F24" s="1240">
        <v>31.7</v>
      </c>
      <c r="G24" s="1240">
        <v>3025</v>
      </c>
      <c r="H24" s="1240">
        <v>1633</v>
      </c>
      <c r="I24" s="1240">
        <v>18</v>
      </c>
      <c r="J24" s="1240">
        <v>177</v>
      </c>
      <c r="K24" s="1241">
        <v>1.7</v>
      </c>
      <c r="L24" s="1241">
        <v>65.8</v>
      </c>
      <c r="M24" s="1245">
        <v>18000</v>
      </c>
      <c r="N24" s="1245">
        <v>31.4</v>
      </c>
      <c r="O24" s="1245">
        <v>1058</v>
      </c>
      <c r="P24" s="1245">
        <v>293</v>
      </c>
      <c r="Q24" s="1245">
        <v>54</v>
      </c>
      <c r="R24" s="1245">
        <v>175</v>
      </c>
      <c r="S24" s="1241">
        <v>41.9002050580998</v>
      </c>
      <c r="T24" s="1241">
        <v>34.394736842105232</v>
      </c>
      <c r="U24" s="1241">
        <v>50.711466715095689</v>
      </c>
      <c r="V24" s="1241">
        <v>44.344258012332219</v>
      </c>
      <c r="W24" s="1239">
        <v>1.7</v>
      </c>
      <c r="X24" s="1239">
        <v>66</v>
      </c>
      <c r="Y24" s="1240">
        <v>15700</v>
      </c>
      <c r="Z24" s="1240">
        <v>32.799999999999997</v>
      </c>
      <c r="AA24" s="1240">
        <v>2067</v>
      </c>
      <c r="AB24" s="1240">
        <v>434</v>
      </c>
      <c r="AC24" s="1240">
        <v>66</v>
      </c>
      <c r="AD24" s="1240">
        <v>137</v>
      </c>
      <c r="AE24" s="1239">
        <v>41.9002050580998</v>
      </c>
      <c r="AF24" s="1239">
        <v>34.008823529411728</v>
      </c>
      <c r="AG24" s="1239">
        <v>50.561653544016934</v>
      </c>
      <c r="AH24" s="1239">
        <v>43.846709809331422</v>
      </c>
    </row>
    <row r="25" spans="1:34" s="125" customFormat="1">
      <c r="A25" s="1217">
        <v>41649</v>
      </c>
      <c r="B25" s="1239">
        <v>2.1800000000000002</v>
      </c>
      <c r="C25" s="1239">
        <v>82.35</v>
      </c>
      <c r="D25" s="1240"/>
      <c r="E25" s="1239"/>
      <c r="F25" s="1240"/>
      <c r="G25" s="1240"/>
      <c r="H25" s="1240"/>
      <c r="I25" s="1240"/>
      <c r="J25" s="1240"/>
      <c r="K25" s="1241">
        <v>1.56</v>
      </c>
      <c r="L25" s="1241">
        <v>62.63</v>
      </c>
      <c r="M25" s="1245"/>
      <c r="N25" s="1241"/>
      <c r="O25" s="1245"/>
      <c r="P25" s="1245"/>
      <c r="Q25" s="1241"/>
      <c r="R25" s="1245"/>
      <c r="S25" s="1241">
        <v>44.759206798866849</v>
      </c>
      <c r="T25" s="1241">
        <v>41.578806529301545</v>
      </c>
      <c r="U25" s="1241">
        <v>55.739805570220938</v>
      </c>
      <c r="V25" s="1241">
        <v>53.191595703230938</v>
      </c>
      <c r="W25" s="1239">
        <v>1.54</v>
      </c>
      <c r="X25" s="1239">
        <v>61.21</v>
      </c>
      <c r="Y25" s="1240"/>
      <c r="Z25" s="1239"/>
      <c r="AA25" s="1240"/>
      <c r="AB25" s="1240"/>
      <c r="AC25" s="1239"/>
      <c r="AD25" s="1239"/>
      <c r="AE25" s="1239">
        <v>45.467422096317271</v>
      </c>
      <c r="AF25" s="1239">
        <v>43.717452951791678</v>
      </c>
      <c r="AG25" s="1239">
        <v>57.297882848679514</v>
      </c>
      <c r="AH25" s="1239">
        <v>55.92755725078252</v>
      </c>
    </row>
    <row r="26" spans="1:34" s="125" customFormat="1">
      <c r="A26" s="1217">
        <v>41653</v>
      </c>
      <c r="B26" s="1239">
        <v>2.42</v>
      </c>
      <c r="C26" s="1239">
        <v>86.93</v>
      </c>
      <c r="D26" s="1240"/>
      <c r="E26" s="1239"/>
      <c r="F26" s="1240"/>
      <c r="G26" s="1240"/>
      <c r="H26" s="1240"/>
      <c r="I26" s="1240"/>
      <c r="J26" s="1240"/>
      <c r="K26" s="1241">
        <v>1.6</v>
      </c>
      <c r="L26" s="1241">
        <v>71.03</v>
      </c>
      <c r="M26" s="1245"/>
      <c r="N26" s="1241"/>
      <c r="O26" s="1245"/>
      <c r="P26" s="1245"/>
      <c r="Q26" s="1241"/>
      <c r="R26" s="1245"/>
      <c r="S26" s="1241">
        <v>40.074906367041194</v>
      </c>
      <c r="T26" s="1241">
        <v>27.245426303072151</v>
      </c>
      <c r="U26" s="1241">
        <v>46.067947230223581</v>
      </c>
      <c r="V26" s="1241">
        <v>34.521528962497811</v>
      </c>
      <c r="W26" s="1239">
        <v>1.85</v>
      </c>
      <c r="X26" s="1239">
        <v>64.709999999999994</v>
      </c>
      <c r="Y26" s="1240"/>
      <c r="Z26" s="1240"/>
      <c r="AA26" s="1240"/>
      <c r="AB26" s="1240"/>
      <c r="AC26" s="1240"/>
      <c r="AD26" s="1240"/>
      <c r="AE26" s="1239">
        <v>30.711610486891381</v>
      </c>
      <c r="AF26" s="1239">
        <v>40.274865400963463</v>
      </c>
      <c r="AG26" s="1239">
        <v>43.189543157339962</v>
      </c>
      <c r="AH26" s="1239">
        <v>51.030580947206097</v>
      </c>
    </row>
    <row r="27" spans="1:34" s="125" customFormat="1">
      <c r="A27" s="1217">
        <v>41660</v>
      </c>
      <c r="B27" s="1239">
        <v>3.2166739883828783</v>
      </c>
      <c r="C27" s="1239">
        <v>74.962063732928613</v>
      </c>
      <c r="D27" s="1240"/>
      <c r="E27" s="1239"/>
      <c r="F27" s="1240"/>
      <c r="G27" s="1240"/>
      <c r="H27" s="1240"/>
      <c r="I27" s="1240"/>
      <c r="J27" s="1240"/>
      <c r="K27" s="1241">
        <v>1.7654315735738313</v>
      </c>
      <c r="L27" s="1241">
        <v>66.265060240963763</v>
      </c>
      <c r="M27" s="1245"/>
      <c r="N27" s="1241"/>
      <c r="O27" s="1245"/>
      <c r="P27" s="1245"/>
      <c r="Q27" s="1241"/>
      <c r="R27" s="1245"/>
      <c r="S27" s="1241">
        <v>32.659971499202051</v>
      </c>
      <c r="T27" s="1241">
        <v>37.006576035118265</v>
      </c>
      <c r="U27" s="1241">
        <v>43.335415672875364</v>
      </c>
      <c r="V27" s="1241">
        <v>46.992951090449004</v>
      </c>
      <c r="W27" s="1239">
        <v>1.7382906808305199</v>
      </c>
      <c r="X27" s="1239">
        <v>64.898989898989598</v>
      </c>
      <c r="Y27" s="1240"/>
      <c r="Z27" s="1239"/>
      <c r="AA27" s="1240"/>
      <c r="AB27" s="1240"/>
      <c r="AC27" s="1239"/>
      <c r="AD27" s="1239"/>
      <c r="AE27" s="1239">
        <v>33.695224588718212</v>
      </c>
      <c r="AF27" s="1239">
        <v>39.458170674993099</v>
      </c>
      <c r="AG27" s="1239">
        <v>45.356745193423095</v>
      </c>
      <c r="AH27" s="1239">
        <v>50.106118514960698</v>
      </c>
    </row>
    <row r="28" spans="1:34" s="125" customFormat="1">
      <c r="A28" s="1217">
        <v>41662</v>
      </c>
      <c r="B28" s="1239">
        <v>3.1</v>
      </c>
      <c r="C28" s="1239">
        <v>77.099999999999994</v>
      </c>
      <c r="D28" s="1240">
        <v>37400</v>
      </c>
      <c r="E28" s="1239"/>
      <c r="F28" s="1240">
        <v>41.1</v>
      </c>
      <c r="G28" s="1240">
        <v>4165</v>
      </c>
      <c r="H28" s="1240">
        <v>1991</v>
      </c>
      <c r="I28" s="1240">
        <v>27.8</v>
      </c>
      <c r="J28" s="1240">
        <v>158</v>
      </c>
      <c r="K28" s="1241">
        <v>1.7</v>
      </c>
      <c r="L28" s="1241">
        <v>64.099999999999994</v>
      </c>
      <c r="M28" s="1245">
        <v>17600</v>
      </c>
      <c r="N28" s="1245">
        <v>35.299999999999997</v>
      </c>
      <c r="O28" s="1245">
        <v>1028</v>
      </c>
      <c r="P28" s="1245">
        <v>304</v>
      </c>
      <c r="Q28" s="1245">
        <v>57.7</v>
      </c>
      <c r="R28" s="1245">
        <v>167</v>
      </c>
      <c r="S28" s="1241">
        <v>34.982170169891582</v>
      </c>
      <c r="T28" s="1241">
        <v>40.724808839255864</v>
      </c>
      <c r="U28" s="1241">
        <v>47.057520754621763</v>
      </c>
      <c r="V28" s="1241">
        <v>51.733615440663321</v>
      </c>
      <c r="W28" s="1239">
        <v>1.6</v>
      </c>
      <c r="X28" s="1239">
        <v>64.400000000000006</v>
      </c>
      <c r="Y28" s="1240">
        <v>18400</v>
      </c>
      <c r="Z28" s="1240">
        <v>35.799999999999997</v>
      </c>
      <c r="AA28" s="1240">
        <v>1845</v>
      </c>
      <c r="AB28" s="1240">
        <v>480</v>
      </c>
      <c r="AC28" s="1240">
        <v>64.3</v>
      </c>
      <c r="AD28" s="1240">
        <v>137</v>
      </c>
      <c r="AE28" s="1239">
        <v>38.806748395192074</v>
      </c>
      <c r="AF28" s="1239">
        <v>40.225298801384412</v>
      </c>
      <c r="AG28" s="1239">
        <v>49.9385788616704</v>
      </c>
      <c r="AH28" s="1239">
        <v>51.09907691379162</v>
      </c>
    </row>
    <row r="29" spans="1:34" s="125" customFormat="1">
      <c r="A29" s="1217">
        <v>41667</v>
      </c>
      <c r="B29" s="1239">
        <v>2.4396013839193307</v>
      </c>
      <c r="C29" s="1239">
        <v>79.030303030303159</v>
      </c>
      <c r="D29" s="1240"/>
      <c r="E29" s="1239"/>
      <c r="F29" s="1240"/>
      <c r="G29" s="1240"/>
      <c r="H29" s="1240"/>
      <c r="I29" s="1240"/>
      <c r="J29" s="1240"/>
      <c r="K29" s="1241">
        <v>1.5305101700566868</v>
      </c>
      <c r="L29" s="1241">
        <v>65.795206971677743</v>
      </c>
      <c r="M29" s="1245"/>
      <c r="N29" s="1241"/>
      <c r="O29" s="1245"/>
      <c r="P29" s="1241"/>
      <c r="Q29" s="1241"/>
      <c r="R29" s="1241"/>
      <c r="S29" s="1241">
        <v>39.947671925415833</v>
      </c>
      <c r="T29" s="1241">
        <v>38.789972193836164</v>
      </c>
      <c r="U29" s="1241">
        <v>50.025378154274321</v>
      </c>
      <c r="V29" s="1241">
        <v>49.061958281114087</v>
      </c>
      <c r="W29" s="1239">
        <v>1.6575653444361831</v>
      </c>
      <c r="X29" s="1239">
        <v>66.798418972332456</v>
      </c>
      <c r="Y29" s="1240"/>
      <c r="Z29" s="1239"/>
      <c r="AA29" s="1240"/>
      <c r="AB29" s="1239"/>
      <c r="AC29" s="1239"/>
      <c r="AD29" s="1239"/>
      <c r="AE29" s="1239">
        <v>34.962432908592824</v>
      </c>
      <c r="AF29" s="1239">
        <v>36.940462846543909</v>
      </c>
      <c r="AG29" s="1239">
        <v>45.051495003947828</v>
      </c>
      <c r="AH29" s="1239">
        <v>46.722679717470214</v>
      </c>
    </row>
    <row r="30" spans="1:34" s="125" customFormat="1">
      <c r="A30" s="1217">
        <v>41676</v>
      </c>
      <c r="B30" s="1239">
        <v>2.7183616951499499</v>
      </c>
      <c r="C30" s="1239">
        <v>73.994638069705161</v>
      </c>
      <c r="D30" s="1240"/>
      <c r="E30" s="1239">
        <v>6.76</v>
      </c>
      <c r="F30" s="1240"/>
      <c r="G30" s="1240"/>
      <c r="H30" s="1240"/>
      <c r="I30" s="1240"/>
      <c r="J30" s="1240"/>
      <c r="K30" s="1241">
        <v>1.6249044765313891</v>
      </c>
      <c r="L30" s="1241">
        <v>65.099009900990112</v>
      </c>
      <c r="M30" s="1241"/>
      <c r="N30" s="1241"/>
      <c r="O30" s="1241"/>
      <c r="P30" s="1241"/>
      <c r="Q30" s="1241"/>
      <c r="R30" s="1241"/>
      <c r="S30" s="1241">
        <v>36.114501173255412</v>
      </c>
      <c r="T30" s="1241">
        <v>39.078234008869806</v>
      </c>
      <c r="U30" s="1241">
        <v>47.180541276610477</v>
      </c>
      <c r="V30" s="1241">
        <v>49.630905867210728</v>
      </c>
      <c r="W30" s="1239">
        <v>1.6615941432919275</v>
      </c>
      <c r="X30" s="1239">
        <v>63.366336633663551</v>
      </c>
      <c r="Y30" s="1240"/>
      <c r="Z30" s="1239"/>
      <c r="AA30" s="1239"/>
      <c r="AB30" s="1239"/>
      <c r="AC30" s="1239"/>
      <c r="AD30" s="1239"/>
      <c r="AE30" s="1239">
        <v>34.671993200240578</v>
      </c>
      <c r="AF30" s="1239">
        <v>41.959668886828403</v>
      </c>
      <c r="AG30" s="1239">
        <v>47.425484296964662</v>
      </c>
      <c r="AH30" s="1239">
        <v>53.290442353890278</v>
      </c>
    </row>
    <row r="31" spans="1:34" s="125" customFormat="1">
      <c r="A31" s="1217">
        <v>41680</v>
      </c>
      <c r="B31" s="1239">
        <v>2.8</v>
      </c>
      <c r="C31" s="1239">
        <v>80.7</v>
      </c>
      <c r="D31" s="1240">
        <v>41500</v>
      </c>
      <c r="E31" s="1239"/>
      <c r="F31" s="1240">
        <v>42</v>
      </c>
      <c r="G31" s="1240">
        <v>3914</v>
      </c>
      <c r="H31" s="1240">
        <v>1907</v>
      </c>
      <c r="I31" s="1240">
        <v>39.200000000000003</v>
      </c>
      <c r="J31" s="1240">
        <v>171</v>
      </c>
      <c r="K31" s="1241">
        <v>1.6</v>
      </c>
      <c r="L31" s="1241">
        <v>65</v>
      </c>
      <c r="M31" s="1245">
        <v>17700</v>
      </c>
      <c r="N31" s="1245">
        <v>34.4</v>
      </c>
      <c r="O31" s="1245">
        <v>777</v>
      </c>
      <c r="P31" s="1245">
        <v>175</v>
      </c>
      <c r="Q31" s="1245">
        <v>50.6</v>
      </c>
      <c r="R31" s="1245">
        <v>198</v>
      </c>
      <c r="S31" s="1241">
        <v>37.340014045492453</v>
      </c>
      <c r="T31" s="1241">
        <v>39.907715666553379</v>
      </c>
      <c r="U31" s="1241">
        <v>48.423227951222302</v>
      </c>
      <c r="V31" s="1241">
        <v>50.536757968526913</v>
      </c>
      <c r="W31" s="1239">
        <v>1.7</v>
      </c>
      <c r="X31" s="1239">
        <v>64.400000000000006</v>
      </c>
      <c r="Y31" s="1240">
        <v>17600</v>
      </c>
      <c r="Z31" s="1240">
        <v>35.4</v>
      </c>
      <c r="AA31" s="1240">
        <v>1815</v>
      </c>
      <c r="AB31" s="1240">
        <v>375</v>
      </c>
      <c r="AC31" s="1240">
        <v>62.4</v>
      </c>
      <c r="AD31" s="1240">
        <v>104</v>
      </c>
      <c r="AE31" s="1239">
        <v>33.423764923335732</v>
      </c>
      <c r="AF31" s="1239">
        <v>40.920506975544043</v>
      </c>
      <c r="AG31" s="1239">
        <v>45.705528808652097</v>
      </c>
      <c r="AH31" s="1239">
        <v>51.819296655600525</v>
      </c>
    </row>
    <row r="32" spans="1:34">
      <c r="A32" s="1217">
        <v>41683</v>
      </c>
      <c r="B32" s="1239">
        <v>2.8</v>
      </c>
      <c r="C32" s="1239">
        <v>75.599999999999994</v>
      </c>
      <c r="D32" s="1240">
        <v>38700</v>
      </c>
      <c r="E32" s="1239"/>
      <c r="F32" s="1240"/>
      <c r="G32" s="1240">
        <v>5654</v>
      </c>
      <c r="H32" s="1240"/>
      <c r="I32" s="1240"/>
      <c r="J32" s="1240"/>
      <c r="K32" s="1241">
        <v>1.7</v>
      </c>
      <c r="L32" s="1241">
        <v>65.099999999999994</v>
      </c>
      <c r="M32" s="1245">
        <v>19900</v>
      </c>
      <c r="N32" s="1241"/>
      <c r="O32" s="1245">
        <v>1701</v>
      </c>
      <c r="P32" s="1241"/>
      <c r="Q32" s="1241"/>
      <c r="R32" s="1241"/>
      <c r="S32" s="1241">
        <v>34.22233032086487</v>
      </c>
      <c r="T32" s="1241">
        <v>39.219772158434651</v>
      </c>
      <c r="U32" s="1241">
        <v>45.649812472700766</v>
      </c>
      <c r="V32" s="1241">
        <v>49.779054240516764</v>
      </c>
      <c r="W32" s="1239">
        <v>1.7</v>
      </c>
      <c r="X32" s="1239">
        <v>64.5</v>
      </c>
      <c r="Y32" s="1240">
        <v>16900</v>
      </c>
      <c r="Z32" s="1240"/>
      <c r="AA32" s="1240">
        <v>1929</v>
      </c>
      <c r="AB32" s="1240"/>
      <c r="AC32" s="1240"/>
      <c r="AD32" s="1240"/>
      <c r="AE32" s="1239">
        <v>34.22233032086487</v>
      </c>
      <c r="AF32" s="1239">
        <v>40.247043614911803</v>
      </c>
      <c r="AG32" s="1239">
        <v>46.150735860049139</v>
      </c>
      <c r="AH32" s="1239">
        <v>51.082901732162966</v>
      </c>
    </row>
    <row r="33" spans="1:34">
      <c r="A33" s="1217">
        <v>41684</v>
      </c>
      <c r="B33" s="1239">
        <v>3.5169065220244047</v>
      </c>
      <c r="C33" s="1239">
        <v>73.631840796019816</v>
      </c>
      <c r="D33" s="1240"/>
      <c r="E33" s="1240"/>
      <c r="F33" s="1240"/>
      <c r="G33" s="1240"/>
      <c r="H33" s="1240"/>
      <c r="I33" s="1240"/>
      <c r="J33" s="1240"/>
      <c r="K33" s="1241">
        <v>1.7250279617998878</v>
      </c>
      <c r="L33" s="1241">
        <v>65.09</v>
      </c>
      <c r="M33" s="1245"/>
      <c r="N33" s="1245"/>
      <c r="O33" s="1245"/>
      <c r="P33" s="1245"/>
      <c r="Q33" s="1245"/>
      <c r="R33" s="1245"/>
      <c r="S33" s="1241">
        <v>35.612968471235817</v>
      </c>
      <c r="T33" s="1241">
        <v>38.183570790305566</v>
      </c>
      <c r="U33" s="1241">
        <v>46.557535686679564</v>
      </c>
      <c r="V33" s="1241">
        <v>48.691184644222361</v>
      </c>
      <c r="W33" s="1239">
        <v>1.7484042342306609</v>
      </c>
      <c r="X33" s="1239">
        <v>64.625850340135969</v>
      </c>
      <c r="Y33" s="1240"/>
      <c r="Z33" s="1240"/>
      <c r="AA33" s="1240"/>
      <c r="AB33" s="1240"/>
      <c r="AC33" s="1240"/>
      <c r="AD33" s="1240"/>
      <c r="AE33" s="1239">
        <v>34.740444185626721</v>
      </c>
      <c r="AF33" s="1239">
        <v>38.994673668185996</v>
      </c>
      <c r="AG33" s="1239">
        <v>46.219580520539004</v>
      </c>
      <c r="AH33" s="1239">
        <v>49.725492310449418</v>
      </c>
    </row>
    <row r="34" spans="1:34">
      <c r="A34" s="1217">
        <v>41690</v>
      </c>
      <c r="B34" s="1239">
        <v>3.061101028433153</v>
      </c>
      <c r="C34" s="1239">
        <v>72.068511198945941</v>
      </c>
      <c r="D34" s="1240">
        <v>33100</v>
      </c>
      <c r="E34" s="1240"/>
      <c r="F34" s="1240">
        <v>36.200000000000003</v>
      </c>
      <c r="G34" s="1240">
        <v>4612</v>
      </c>
      <c r="H34" s="1240">
        <v>2291</v>
      </c>
      <c r="I34" s="1240">
        <v>33.6</v>
      </c>
      <c r="J34" s="1240">
        <v>170</v>
      </c>
      <c r="K34" s="1241">
        <v>1.7417128180431831</v>
      </c>
      <c r="L34" s="1241">
        <v>65.898617511520996</v>
      </c>
      <c r="M34" s="1245">
        <v>20600</v>
      </c>
      <c r="N34" s="1245">
        <v>29.5</v>
      </c>
      <c r="O34" s="1245">
        <v>1323</v>
      </c>
      <c r="P34" s="1245">
        <v>409</v>
      </c>
      <c r="Q34" s="1245">
        <v>59.2</v>
      </c>
      <c r="R34" s="1245">
        <v>147</v>
      </c>
      <c r="S34" s="1241">
        <v>38.3522200629994</v>
      </c>
      <c r="T34" s="1241">
        <v>34.421238421154719</v>
      </c>
      <c r="U34" s="1241">
        <v>47.672922685705402</v>
      </c>
      <c r="V34" s="1241">
        <v>44.336277302788346</v>
      </c>
      <c r="W34" s="1239">
        <v>1.7772192801364239</v>
      </c>
      <c r="X34" s="1239">
        <v>63.636363636363505</v>
      </c>
      <c r="Y34" s="1240">
        <v>18500</v>
      </c>
      <c r="Z34" s="1240">
        <v>27.5</v>
      </c>
      <c r="AA34" s="1240">
        <v>1825</v>
      </c>
      <c r="AB34" s="1240">
        <v>407</v>
      </c>
      <c r="AC34" s="1240">
        <v>68.2</v>
      </c>
      <c r="AD34" s="1240">
        <v>115</v>
      </c>
      <c r="AE34" s="1239">
        <v>37.095471798423382</v>
      </c>
      <c r="AF34" s="1239">
        <v>38.501023127673442</v>
      </c>
      <c r="AG34" s="1239">
        <v>48.439158398351346</v>
      </c>
      <c r="AH34" s="1239">
        <v>49.591244130847656</v>
      </c>
    </row>
    <row r="35" spans="1:34">
      <c r="A35" s="1217">
        <v>41692</v>
      </c>
      <c r="B35" s="1239">
        <v>3.0260108163790904</v>
      </c>
      <c r="C35" s="1239">
        <v>73.085106382978722</v>
      </c>
      <c r="D35" s="1239"/>
      <c r="E35" s="1239"/>
      <c r="F35" s="1240"/>
      <c r="G35" s="1240"/>
      <c r="H35" s="1240"/>
      <c r="I35" s="1240"/>
      <c r="J35" s="1240"/>
      <c r="K35" s="1241">
        <v>1.7545547857326145</v>
      </c>
      <c r="L35" s="1241">
        <v>65.447897623400081</v>
      </c>
      <c r="M35" s="1245"/>
      <c r="N35" s="1245"/>
      <c r="O35" s="1245"/>
      <c r="P35" s="1245"/>
      <c r="Q35" s="1245"/>
      <c r="R35" s="1245"/>
      <c r="S35" s="1241">
        <v>39.703235096384894</v>
      </c>
      <c r="T35" s="1241">
        <v>32.595263162091612</v>
      </c>
      <c r="U35" s="1241">
        <v>48.555809872961362</v>
      </c>
      <c r="V35" s="1241">
        <v>42.491407243899005</v>
      </c>
      <c r="W35" s="1239">
        <v>1.7245501823181248</v>
      </c>
      <c r="X35" s="1239">
        <v>64.991334488735049</v>
      </c>
      <c r="Y35" s="1240"/>
      <c r="Z35" s="1240"/>
      <c r="AA35" s="1240"/>
      <c r="AB35" s="1240"/>
      <c r="AC35" s="1240"/>
      <c r="AD35" s="1240"/>
      <c r="AE35" s="1239">
        <v>40.734368767913004</v>
      </c>
      <c r="AF35" s="1239">
        <v>33.474317461721647</v>
      </c>
      <c r="AG35" s="1239">
        <v>49.788292336225794</v>
      </c>
      <c r="AH35" s="1239">
        <v>43.637348420975336</v>
      </c>
    </row>
    <row r="36" spans="1:34">
      <c r="A36" s="1217">
        <v>41697</v>
      </c>
      <c r="B36" s="1239">
        <v>2.9</v>
      </c>
      <c r="C36" s="1239">
        <v>75.599999999999994</v>
      </c>
      <c r="D36" s="1240">
        <v>38700</v>
      </c>
      <c r="E36" s="1240"/>
      <c r="F36" s="1240"/>
      <c r="G36" s="1240">
        <v>5820</v>
      </c>
      <c r="H36" s="1240"/>
      <c r="I36" s="1240"/>
      <c r="J36" s="1240"/>
      <c r="K36" s="1241">
        <v>1.8</v>
      </c>
      <c r="L36" s="1241">
        <v>63.4</v>
      </c>
      <c r="M36" s="1245">
        <v>20000</v>
      </c>
      <c r="N36" s="1245"/>
      <c r="O36" s="1245">
        <v>1295</v>
      </c>
      <c r="P36" s="1245"/>
      <c r="Q36" s="1245"/>
      <c r="R36" s="1245"/>
      <c r="S36" s="1241">
        <v>39.145306858223002</v>
      </c>
      <c r="T36" s="1241">
        <v>33.271164811716268</v>
      </c>
      <c r="U36" s="1241">
        <v>48.950408582005714</v>
      </c>
      <c r="V36" s="1241">
        <v>44.022726986326688</v>
      </c>
      <c r="W36" s="1239">
        <v>1.8</v>
      </c>
      <c r="X36" s="1239">
        <v>62.2</v>
      </c>
      <c r="Y36" s="1240">
        <v>18000</v>
      </c>
      <c r="Z36" s="1240"/>
      <c r="AA36" s="1240">
        <v>2338</v>
      </c>
      <c r="AB36" s="1240"/>
      <c r="AC36" s="1240"/>
      <c r="AD36" s="1240"/>
      <c r="AE36" s="1239">
        <v>39.145306858223002</v>
      </c>
      <c r="AF36" s="1239">
        <v>35.389540531979236</v>
      </c>
      <c r="AG36" s="1239">
        <v>49.916646905374684</v>
      </c>
      <c r="AH36" s="1239">
        <v>46.825654882459737</v>
      </c>
    </row>
    <row r="37" spans="1:34">
      <c r="A37" s="1217">
        <v>41704</v>
      </c>
      <c r="B37" s="1239">
        <v>2.4</v>
      </c>
      <c r="C37" s="1239">
        <v>76</v>
      </c>
      <c r="D37" s="1240">
        <v>32100</v>
      </c>
      <c r="E37" s="1239"/>
      <c r="F37" s="1240">
        <v>34.299999999999997</v>
      </c>
      <c r="G37" s="1240">
        <v>3743</v>
      </c>
      <c r="H37" s="1240">
        <v>1960</v>
      </c>
      <c r="I37" s="1240">
        <v>31</v>
      </c>
      <c r="J37" s="1240">
        <v>252</v>
      </c>
      <c r="K37" s="1241">
        <v>1.8</v>
      </c>
      <c r="L37" s="1241">
        <v>64.5</v>
      </c>
      <c r="M37" s="1245">
        <v>18200</v>
      </c>
      <c r="N37" s="1245">
        <v>26.4</v>
      </c>
      <c r="O37" s="1245">
        <v>1322</v>
      </c>
      <c r="P37" s="1245">
        <v>345</v>
      </c>
      <c r="Q37" s="1245">
        <v>66</v>
      </c>
      <c r="R37" s="1245">
        <v>191</v>
      </c>
      <c r="S37" s="1241">
        <v>37.417385398660791</v>
      </c>
      <c r="T37" s="1241">
        <v>31.495887176888125</v>
      </c>
      <c r="U37" s="1241">
        <v>46.663277294143846</v>
      </c>
      <c r="V37" s="1241">
        <v>41.616615203245047</v>
      </c>
      <c r="W37" s="1239">
        <v>1.8</v>
      </c>
      <c r="X37" s="1239">
        <v>64.099999999999994</v>
      </c>
      <c r="Y37" s="1240">
        <v>17800</v>
      </c>
      <c r="Z37" s="1240">
        <v>29.5</v>
      </c>
      <c r="AA37" s="1240">
        <v>2379</v>
      </c>
      <c r="AB37" s="1240">
        <v>659</v>
      </c>
      <c r="AC37" s="1240">
        <v>66</v>
      </c>
      <c r="AD37" s="1240">
        <v>150</v>
      </c>
      <c r="AE37" s="1239">
        <v>37.417385398660791</v>
      </c>
      <c r="AF37" s="1239">
        <v>32.259164199986877</v>
      </c>
      <c r="AG37" s="1239">
        <v>46.994047667513506</v>
      </c>
      <c r="AH37" s="1239">
        <v>42.625159778775789</v>
      </c>
    </row>
    <row r="38" spans="1:34">
      <c r="A38" s="1217">
        <v>41705</v>
      </c>
      <c r="B38" s="1239">
        <v>2.5455435504737931</v>
      </c>
      <c r="C38" s="1239">
        <v>73.351648351648379</v>
      </c>
      <c r="D38" s="1240"/>
      <c r="E38" s="1247">
        <v>6.61</v>
      </c>
      <c r="F38" s="1240"/>
      <c r="G38" s="1240"/>
      <c r="H38" s="1240"/>
      <c r="I38" s="1240"/>
      <c r="J38" s="1240"/>
      <c r="K38" s="1241">
        <v>1.7813078346699585</v>
      </c>
      <c r="L38" s="1241">
        <v>64.935064935064872</v>
      </c>
      <c r="M38" s="1245"/>
      <c r="N38" s="1245"/>
      <c r="O38" s="1245"/>
      <c r="P38" s="1245"/>
      <c r="Q38" s="1245"/>
      <c r="R38" s="1245"/>
      <c r="S38" s="1241">
        <v>36.849906721749633</v>
      </c>
      <c r="T38" s="1241">
        <v>29.576954381034547</v>
      </c>
      <c r="U38" s="1241">
        <v>45.546911844819661</v>
      </c>
      <c r="V38" s="1241">
        <v>39.275587537943572</v>
      </c>
      <c r="W38" s="1239">
        <v>1.8382789905312844</v>
      </c>
      <c r="X38" s="1239">
        <v>64.008620689654947</v>
      </c>
      <c r="Y38" s="1240"/>
      <c r="Z38" s="1240"/>
      <c r="AA38" s="1240"/>
      <c r="AB38" s="1240"/>
      <c r="AC38" s="1240"/>
      <c r="AD38" s="1240"/>
      <c r="AE38" s="1239">
        <v>34.830191916262876</v>
      </c>
      <c r="AF38" s="1239">
        <v>31.389694726308793</v>
      </c>
      <c r="AG38" s="1239">
        <v>44.607093956308006</v>
      </c>
      <c r="AH38" s="1239">
        <v>41.68274688224826</v>
      </c>
    </row>
    <row r="39" spans="1:34">
      <c r="A39" s="1217">
        <v>41711</v>
      </c>
      <c r="B39" s="1239">
        <v>3.2</v>
      </c>
      <c r="C39" s="1239">
        <v>77.8</v>
      </c>
      <c r="D39" s="1240">
        <v>42200</v>
      </c>
      <c r="E39" s="1247">
        <v>6.05</v>
      </c>
      <c r="F39" s="1240"/>
      <c r="G39" s="1240">
        <v>6100</v>
      </c>
      <c r="H39" s="1240"/>
      <c r="I39" s="1240"/>
      <c r="J39" s="1240"/>
      <c r="K39" s="1241">
        <v>1.8</v>
      </c>
      <c r="L39" s="1241">
        <v>64.3</v>
      </c>
      <c r="M39" s="1245">
        <v>21200</v>
      </c>
      <c r="N39" s="1245"/>
      <c r="O39" s="1245">
        <v>1404</v>
      </c>
      <c r="P39" s="1245"/>
      <c r="Q39" s="1245"/>
      <c r="R39" s="1245"/>
      <c r="S39" s="1241">
        <v>37.862305076441856</v>
      </c>
      <c r="T39" s="1241">
        <v>30.485082576834234</v>
      </c>
      <c r="U39" s="1241">
        <v>46.857075253567849</v>
      </c>
      <c r="V39" s="1241">
        <v>40.547745938783464</v>
      </c>
      <c r="W39" s="1239">
        <v>1.8</v>
      </c>
      <c r="X39" s="1239">
        <v>63.6</v>
      </c>
      <c r="Y39" s="1240">
        <v>18300</v>
      </c>
      <c r="Z39" s="1240"/>
      <c r="AA39" s="1240">
        <v>2501</v>
      </c>
      <c r="AB39" s="1240"/>
      <c r="AC39" s="1240"/>
      <c r="AD39" s="1240"/>
      <c r="AE39" s="1239">
        <v>37.862305076441856</v>
      </c>
      <c r="AF39" s="1239">
        <v>31.821907911895096</v>
      </c>
      <c r="AG39" s="1239">
        <v>47.435614092175967</v>
      </c>
      <c r="AH39" s="1239">
        <v>42.325837040028119</v>
      </c>
    </row>
    <row r="40" spans="1:34">
      <c r="A40" s="1217">
        <v>41718</v>
      </c>
      <c r="B40" s="1239">
        <v>3.4</v>
      </c>
      <c r="C40" s="1239">
        <v>78.900000000000006</v>
      </c>
      <c r="D40" s="1240">
        <v>42100</v>
      </c>
      <c r="E40" s="1247"/>
      <c r="F40" s="1240">
        <v>43.8</v>
      </c>
      <c r="G40" s="1240">
        <v>3602</v>
      </c>
      <c r="H40" s="1240">
        <v>1475</v>
      </c>
      <c r="I40" s="1240">
        <v>19.8</v>
      </c>
      <c r="J40" s="1240">
        <v>213</v>
      </c>
      <c r="K40" s="1241">
        <v>1.9</v>
      </c>
      <c r="L40" s="1241">
        <v>65.3</v>
      </c>
      <c r="M40" s="1245">
        <v>22200</v>
      </c>
      <c r="N40" s="1245">
        <v>31.9</v>
      </c>
      <c r="O40" s="1245">
        <v>1361</v>
      </c>
      <c r="P40" s="1245">
        <v>334</v>
      </c>
      <c r="Q40" s="1245">
        <v>59.6</v>
      </c>
      <c r="R40" s="1245">
        <v>209</v>
      </c>
      <c r="S40" s="1241">
        <v>35.918108830784632</v>
      </c>
      <c r="T40" s="1241">
        <v>29.895419806799104</v>
      </c>
      <c r="U40" s="1241">
        <v>44.702757983757238</v>
      </c>
      <c r="V40" s="1241">
        <v>39.505687696482589</v>
      </c>
      <c r="W40" s="1239">
        <v>1.8</v>
      </c>
      <c r="X40" s="1239">
        <v>63.5</v>
      </c>
      <c r="Y40" s="1240">
        <v>17800</v>
      </c>
      <c r="Z40" s="1240">
        <v>29.8</v>
      </c>
      <c r="AA40" s="1240">
        <v>2140</v>
      </c>
      <c r="AB40" s="1240">
        <v>411</v>
      </c>
      <c r="AC40" s="1240">
        <v>71.400000000000006</v>
      </c>
      <c r="AD40" s="1240">
        <v>158</v>
      </c>
      <c r="AE40" s="1239">
        <v>39.290839944953866</v>
      </c>
      <c r="AF40" s="1239">
        <v>33.352631980710377</v>
      </c>
      <c r="AG40" s="1239">
        <v>49.057187374413246</v>
      </c>
      <c r="AH40" s="1239">
        <v>44.074265268755177</v>
      </c>
    </row>
    <row r="41" spans="1:34">
      <c r="A41" s="1217">
        <v>41723</v>
      </c>
      <c r="B41" s="1239">
        <v>3.0945510810019679</v>
      </c>
      <c r="C41" s="1239">
        <v>72.972972972972997</v>
      </c>
      <c r="D41" s="1240"/>
      <c r="E41" s="1247">
        <v>5.99</v>
      </c>
      <c r="F41" s="1240"/>
      <c r="G41" s="1240"/>
      <c r="H41" s="1240"/>
      <c r="I41" s="1240"/>
      <c r="J41" s="1240"/>
      <c r="K41" s="1241">
        <v>1.7950575545359444</v>
      </c>
      <c r="L41" s="1241">
        <v>63.901345291479579</v>
      </c>
      <c r="M41" s="1245"/>
      <c r="N41" s="1245"/>
      <c r="O41" s="1245"/>
      <c r="P41" s="1245"/>
      <c r="Q41" s="1245"/>
      <c r="R41" s="1245"/>
      <c r="S41" s="1241">
        <v>40.053073048545123</v>
      </c>
      <c r="T41" s="1241">
        <v>30.47111524679821</v>
      </c>
      <c r="U41" s="1241">
        <v>48.856639154853568</v>
      </c>
      <c r="V41" s="1241">
        <v>40.681849380315924</v>
      </c>
      <c r="W41" s="1239">
        <v>1.6984725407128161</v>
      </c>
      <c r="X41" s="1239">
        <v>63.615560640732227</v>
      </c>
      <c r="Y41" s="1240"/>
      <c r="Z41" s="1240"/>
      <c r="AA41" s="1240"/>
      <c r="AB41" s="1240"/>
      <c r="AC41" s="1240"/>
      <c r="AD41" s="1240"/>
      <c r="AE41" s="1239">
        <v>43.278582310701985</v>
      </c>
      <c r="AF41" s="1239">
        <v>31.017235742151826</v>
      </c>
      <c r="AG41" s="1239">
        <v>51.824883477205908</v>
      </c>
      <c r="AH41" s="1239">
        <v>41.410972405696945</v>
      </c>
    </row>
    <row r="42" spans="1:34">
      <c r="A42" s="1217">
        <v>41725</v>
      </c>
      <c r="B42" s="1239">
        <v>2.6</v>
      </c>
      <c r="C42" s="1239">
        <v>77.7</v>
      </c>
      <c r="D42" s="1240">
        <v>34900</v>
      </c>
      <c r="E42" s="1247"/>
      <c r="F42" s="1240"/>
      <c r="G42" s="1240">
        <v>5861</v>
      </c>
      <c r="H42" s="1240"/>
      <c r="I42" s="1240"/>
      <c r="J42" s="1240"/>
      <c r="K42" s="1241">
        <v>1.9</v>
      </c>
      <c r="L42" s="1241">
        <v>64.8</v>
      </c>
      <c r="M42" s="1245">
        <v>19700</v>
      </c>
      <c r="N42" s="1245"/>
      <c r="O42" s="1245">
        <v>1032</v>
      </c>
      <c r="P42" s="1245"/>
      <c r="Q42" s="1245"/>
      <c r="R42" s="1245"/>
      <c r="S42" s="1241">
        <v>36.121813412025418</v>
      </c>
      <c r="T42" s="1241">
        <v>29.292636279138062</v>
      </c>
      <c r="U42" s="1241">
        <v>44.890814239373711</v>
      </c>
      <c r="V42" s="1241">
        <v>38.999125521971067</v>
      </c>
      <c r="W42" s="1239">
        <v>1.9</v>
      </c>
      <c r="X42" s="1239">
        <v>62.5</v>
      </c>
      <c r="Y42" s="1240">
        <v>22300</v>
      </c>
      <c r="Z42" s="1240"/>
      <c r="AA42" s="1240">
        <v>2043</v>
      </c>
      <c r="AB42" s="1240"/>
      <c r="AC42" s="1240"/>
      <c r="AD42" s="1240"/>
      <c r="AE42" s="1239">
        <v>36.121813412025418</v>
      </c>
      <c r="AF42" s="1239">
        <v>33.62935458735091</v>
      </c>
      <c r="AG42" s="1239">
        <v>46.846850153716922</v>
      </c>
      <c r="AH42" s="1239">
        <v>44.772870842936761</v>
      </c>
    </row>
    <row r="43" spans="1:34">
      <c r="A43" s="1217">
        <v>41733</v>
      </c>
      <c r="B43" s="1239">
        <v>2.2000000000000002</v>
      </c>
      <c r="C43" s="1239">
        <v>78.3</v>
      </c>
      <c r="D43" s="1240">
        <v>26800</v>
      </c>
      <c r="E43" s="1247"/>
      <c r="F43" s="1240">
        <v>42.2</v>
      </c>
      <c r="G43" s="1240">
        <v>4058</v>
      </c>
      <c r="H43" s="1240">
        <v>2166</v>
      </c>
      <c r="I43" s="1240">
        <v>33.1</v>
      </c>
      <c r="J43" s="1240">
        <v>22</v>
      </c>
      <c r="K43" s="1241">
        <v>1.9</v>
      </c>
      <c r="L43" s="1241">
        <v>65.8</v>
      </c>
      <c r="M43" s="1245">
        <v>16200</v>
      </c>
      <c r="N43" s="1245">
        <v>31.2</v>
      </c>
      <c r="O43" s="1245">
        <v>1583</v>
      </c>
      <c r="P43" s="1245">
        <v>510</v>
      </c>
      <c r="Q43" s="1245">
        <v>64.099999999999994</v>
      </c>
      <c r="R43" s="1245">
        <v>175</v>
      </c>
      <c r="S43" s="1241">
        <v>33.162620056077344</v>
      </c>
      <c r="T43" s="1241">
        <v>28.59012833524741</v>
      </c>
      <c r="U43" s="1241">
        <v>41.809655611771049</v>
      </c>
      <c r="V43" s="1241">
        <v>37.828726554248746</v>
      </c>
      <c r="W43" s="1239">
        <v>1.9</v>
      </c>
      <c r="X43" s="1239">
        <v>61</v>
      </c>
      <c r="Y43" s="1240">
        <v>18000</v>
      </c>
      <c r="Z43" s="1240">
        <v>32.5</v>
      </c>
      <c r="AA43" s="1240">
        <v>2015</v>
      </c>
      <c r="AB43" s="1240">
        <v>521</v>
      </c>
      <c r="AC43" s="1240">
        <v>68.5</v>
      </c>
      <c r="AD43" s="1240">
        <v>159</v>
      </c>
      <c r="AE43" s="1239">
        <v>33.162620056077344</v>
      </c>
      <c r="AF43" s="1239">
        <v>37.379035617063117</v>
      </c>
      <c r="AG43" s="1239">
        <v>46.054543956201108</v>
      </c>
      <c r="AH43" s="1239">
        <v>49.457676462268616</v>
      </c>
    </row>
    <row r="44" spans="1:34">
      <c r="A44" s="1218">
        <v>41738</v>
      </c>
      <c r="B44" s="1239">
        <v>2.7</v>
      </c>
      <c r="C44" s="1239">
        <v>79.02</v>
      </c>
      <c r="D44" s="1240"/>
      <c r="E44" s="1247">
        <v>5.68</v>
      </c>
      <c r="F44" s="1240"/>
      <c r="G44" s="1240"/>
      <c r="H44" s="1240"/>
      <c r="I44" s="1240"/>
      <c r="J44" s="1240"/>
      <c r="K44" s="1241">
        <v>1.85</v>
      </c>
      <c r="L44" s="1241">
        <v>66.08</v>
      </c>
      <c r="M44" s="1245"/>
      <c r="N44" s="1245"/>
      <c r="O44" s="1245"/>
      <c r="P44" s="1245"/>
      <c r="Q44" s="1245"/>
      <c r="R44" s="1245"/>
      <c r="S44" s="1241">
        <v>34.084192641647782</v>
      </c>
      <c r="T44" s="1241">
        <v>30.050037649646242</v>
      </c>
      <c r="U44" s="1241">
        <v>42.893053830075431</v>
      </c>
      <c r="V44" s="1241">
        <v>39.398015519812311</v>
      </c>
      <c r="W44" s="1239">
        <v>1.81</v>
      </c>
      <c r="X44" s="1239">
        <v>62.22</v>
      </c>
      <c r="Y44" s="1240"/>
      <c r="Z44" s="1240"/>
      <c r="AA44" s="1240"/>
      <c r="AB44" s="1240"/>
      <c r="AC44" s="1240"/>
      <c r="AD44" s="1240"/>
      <c r="AE44" s="1239">
        <v>35.509399287233784</v>
      </c>
      <c r="AF44" s="1239">
        <v>37.196857519216529</v>
      </c>
      <c r="AG44" s="1239">
        <v>47.391519819107067</v>
      </c>
      <c r="AH44" s="1239">
        <v>48.768071005980659</v>
      </c>
    </row>
    <row r="45" spans="1:34">
      <c r="A45" s="1218">
        <v>41746</v>
      </c>
      <c r="B45" s="1239">
        <v>2.8</v>
      </c>
      <c r="C45" s="1239">
        <v>78</v>
      </c>
      <c r="D45" s="1240">
        <v>35100</v>
      </c>
      <c r="E45" s="1247"/>
      <c r="F45" s="1240">
        <v>47</v>
      </c>
      <c r="G45" s="1240">
        <v>5471</v>
      </c>
      <c r="H45" s="1240">
        <v>3035</v>
      </c>
      <c r="I45" s="1240">
        <v>32</v>
      </c>
      <c r="J45" s="1240">
        <v>259</v>
      </c>
      <c r="K45" s="1241">
        <v>1.7</v>
      </c>
      <c r="L45" s="1241">
        <v>64.599999999999994</v>
      </c>
      <c r="M45" s="1245">
        <v>18000</v>
      </c>
      <c r="N45" s="1245">
        <v>28.4</v>
      </c>
      <c r="O45" s="1245">
        <v>1285</v>
      </c>
      <c r="P45" s="1245">
        <v>196</v>
      </c>
      <c r="Q45" s="1245">
        <v>38.700000000000003</v>
      </c>
      <c r="R45" s="1245">
        <v>171</v>
      </c>
      <c r="S45" s="1241">
        <v>38.936989169641855</v>
      </c>
      <c r="T45" s="1241">
        <v>34.362887379836572</v>
      </c>
      <c r="U45" s="1241">
        <v>48.613324576750806</v>
      </c>
      <c r="V45" s="1241">
        <v>44.764056733102812</v>
      </c>
      <c r="W45" s="1239">
        <v>1.8</v>
      </c>
      <c r="X45" s="1239">
        <v>63.1</v>
      </c>
      <c r="Y45" s="1240">
        <v>18700</v>
      </c>
      <c r="Z45" s="1240">
        <v>32.6</v>
      </c>
      <c r="AA45" s="1240">
        <v>2450</v>
      </c>
      <c r="AB45" s="1240">
        <v>733</v>
      </c>
      <c r="AC45" s="1240">
        <v>71</v>
      </c>
      <c r="AD45" s="1240">
        <v>163</v>
      </c>
      <c r="AE45" s="1239">
        <v>35.345047356091378</v>
      </c>
      <c r="AF45" s="1239">
        <v>37.031062689599302</v>
      </c>
      <c r="AG45" s="1239">
        <v>46.853955613070077</v>
      </c>
      <c r="AH45" s="1239">
        <v>48.239851698172203</v>
      </c>
    </row>
    <row r="46" spans="1:34">
      <c r="A46" s="1218">
        <v>41753</v>
      </c>
      <c r="B46" s="1239">
        <v>3.58</v>
      </c>
      <c r="C46" s="1239">
        <v>78.459999999999994</v>
      </c>
      <c r="D46" s="1240">
        <v>4760</v>
      </c>
      <c r="E46" s="1247"/>
      <c r="F46" s="1240"/>
      <c r="G46" s="1240">
        <v>7862</v>
      </c>
      <c r="H46" s="1240"/>
      <c r="I46" s="1240"/>
      <c r="J46" s="1240"/>
      <c r="K46" s="1241">
        <v>1.72</v>
      </c>
      <c r="L46" s="1241">
        <v>65.16</v>
      </c>
      <c r="M46" s="1245">
        <v>18300</v>
      </c>
      <c r="N46" s="1245"/>
      <c r="O46" s="1245">
        <v>1940</v>
      </c>
      <c r="P46" s="1245"/>
      <c r="Q46" s="1245"/>
      <c r="R46" s="1245"/>
      <c r="S46" s="1241">
        <v>39.691644707877359</v>
      </c>
      <c r="T46" s="1241">
        <v>34.128766166653691</v>
      </c>
      <c r="U46" s="1241">
        <v>48.998457347615421</v>
      </c>
      <c r="V46" s="1241">
        <v>44.294044736527148</v>
      </c>
      <c r="W46" s="1239">
        <v>1.83</v>
      </c>
      <c r="X46" s="1239">
        <v>62.29</v>
      </c>
      <c r="Y46" s="1240">
        <v>19100</v>
      </c>
      <c r="Z46" s="1240"/>
      <c r="AA46" s="1240">
        <v>2850</v>
      </c>
      <c r="AB46" s="1240"/>
      <c r="AC46" s="1240"/>
      <c r="AD46" s="1240"/>
      <c r="AE46" s="1239">
        <v>35.834715008962533</v>
      </c>
      <c r="AF46" s="1239">
        <v>39.142036946332922</v>
      </c>
      <c r="AG46" s="1239">
        <v>48.12677962631183</v>
      </c>
      <c r="AH46" s="1239">
        <v>50.800521973562553</v>
      </c>
    </row>
    <row r="47" spans="1:34">
      <c r="A47" s="1218">
        <v>41759</v>
      </c>
      <c r="B47" s="1239">
        <v>3.9</v>
      </c>
      <c r="C47" s="1239">
        <v>79</v>
      </c>
      <c r="D47" s="1240">
        <v>51200</v>
      </c>
      <c r="E47" s="1247"/>
      <c r="F47" s="1240">
        <v>48.1</v>
      </c>
      <c r="G47" s="1240">
        <v>9178</v>
      </c>
      <c r="H47" s="1240">
        <v>4958</v>
      </c>
      <c r="I47" s="1240">
        <v>48.6</v>
      </c>
      <c r="J47" s="1240">
        <v>153</v>
      </c>
      <c r="K47" s="1241">
        <v>1.9</v>
      </c>
      <c r="L47" s="1241">
        <v>67.099999999999994</v>
      </c>
      <c r="M47" s="1245">
        <v>19700</v>
      </c>
      <c r="N47" s="1245">
        <v>32</v>
      </c>
      <c r="O47" s="1245">
        <v>890</v>
      </c>
      <c r="P47" s="1245">
        <v>297</v>
      </c>
      <c r="Q47" s="1245">
        <v>61.2</v>
      </c>
      <c r="R47" s="1245">
        <v>198</v>
      </c>
      <c r="S47" s="1241">
        <v>36.709060270320762</v>
      </c>
      <c r="T47" s="1241">
        <v>31.156419855508044</v>
      </c>
      <c r="U47" s="1241">
        <v>45.096358330880783</v>
      </c>
      <c r="V47" s="1241">
        <v>40.279552308495433</v>
      </c>
      <c r="W47" s="1239">
        <v>2</v>
      </c>
      <c r="X47" s="1239">
        <v>65.2</v>
      </c>
      <c r="Y47" s="1240">
        <v>18700</v>
      </c>
      <c r="Z47" s="1240">
        <v>31.5</v>
      </c>
      <c r="AA47" s="1240">
        <v>2634</v>
      </c>
      <c r="AB47" s="1240">
        <v>697</v>
      </c>
      <c r="AC47" s="1240">
        <v>73.3</v>
      </c>
      <c r="AD47" s="1240">
        <v>129</v>
      </c>
      <c r="AE47" s="1239">
        <v>33.37795817928501</v>
      </c>
      <c r="AF47" s="1239">
        <v>34.915121070293509</v>
      </c>
      <c r="AG47" s="1239">
        <v>43.843165160772237</v>
      </c>
      <c r="AH47" s="1239">
        <v>45.13886550606717</v>
      </c>
    </row>
    <row r="48" spans="1:34">
      <c r="A48" s="1218">
        <v>41767</v>
      </c>
      <c r="B48" s="1239">
        <v>3.3</v>
      </c>
      <c r="C48" s="1239">
        <v>75</v>
      </c>
      <c r="D48" s="1240">
        <v>39500</v>
      </c>
      <c r="E48" s="1247"/>
      <c r="F48" s="1240"/>
      <c r="G48" s="1240">
        <v>7659</v>
      </c>
      <c r="H48" s="1240"/>
      <c r="I48" s="1240"/>
      <c r="J48" s="1240"/>
      <c r="K48" s="1241">
        <v>2.1</v>
      </c>
      <c r="L48" s="1241">
        <v>67.3</v>
      </c>
      <c r="M48" s="1245">
        <v>23500</v>
      </c>
      <c r="N48" s="1245"/>
      <c r="O48" s="1245">
        <v>1213</v>
      </c>
      <c r="P48" s="1245"/>
      <c r="Q48" s="1245"/>
      <c r="R48" s="1245"/>
      <c r="S48" s="1241">
        <v>31.76179907636763</v>
      </c>
      <c r="T48" s="1241">
        <v>31.239441276138567</v>
      </c>
      <c r="U48" s="1241">
        <v>40.754520948982019</v>
      </c>
      <c r="V48" s="1241">
        <v>40.301001693026826</v>
      </c>
      <c r="W48" s="1239">
        <v>2.1</v>
      </c>
      <c r="X48" s="1239">
        <v>66.099999999999994</v>
      </c>
      <c r="Y48" s="1240">
        <v>19900</v>
      </c>
      <c r="Z48" s="1240"/>
      <c r="AA48" s="1240">
        <v>2758</v>
      </c>
      <c r="AB48" s="1240"/>
      <c r="AC48" s="1240"/>
      <c r="AD48" s="1240"/>
      <c r="AE48" s="1239">
        <v>31.76179907636763</v>
      </c>
      <c r="AF48" s="1239">
        <v>33.67344335485933</v>
      </c>
      <c r="AG48" s="1239">
        <v>41.810903933546982</v>
      </c>
      <c r="AH48" s="1239">
        <v>43.441029743729572</v>
      </c>
    </row>
    <row r="49" spans="1:34">
      <c r="A49" s="1218">
        <v>41770</v>
      </c>
      <c r="B49" s="1239">
        <v>2.9</v>
      </c>
      <c r="C49" s="1239">
        <v>76.900000000000006</v>
      </c>
      <c r="D49" s="1239"/>
      <c r="E49" s="1239"/>
      <c r="F49" s="1240"/>
      <c r="G49" s="1240"/>
      <c r="H49" s="1240"/>
      <c r="I49" s="1240"/>
      <c r="J49" s="1240"/>
      <c r="K49" s="1241">
        <v>1.94</v>
      </c>
      <c r="L49" s="1241">
        <v>66.7</v>
      </c>
      <c r="M49" s="1245"/>
      <c r="N49" s="1245"/>
      <c r="O49" s="1245"/>
      <c r="P49" s="1245"/>
      <c r="Q49" s="1245"/>
      <c r="R49" s="1245"/>
      <c r="S49" s="1241">
        <v>36.340325577120367</v>
      </c>
      <c r="T49" s="1241">
        <v>32.208099991883799</v>
      </c>
      <c r="U49" s="1241">
        <v>45.158747434938299</v>
      </c>
      <c r="V49" s="1241">
        <v>41.598936156759308</v>
      </c>
      <c r="W49" s="1239">
        <v>2</v>
      </c>
      <c r="X49" s="1239">
        <v>64</v>
      </c>
      <c r="Y49" s="1240"/>
      <c r="Z49" s="1240"/>
      <c r="AA49" s="1240"/>
      <c r="AB49" s="1240"/>
      <c r="AC49" s="1240"/>
      <c r="AD49" s="1240"/>
      <c r="AE49" s="1239">
        <v>34.371469667134399</v>
      </c>
      <c r="AF49" s="1239">
        <v>37.292492492492514</v>
      </c>
      <c r="AG49" s="1239">
        <v>45.751245549947463</v>
      </c>
      <c r="AH49" s="1239">
        <v>48.165772420991772</v>
      </c>
    </row>
    <row r="50" spans="1:34">
      <c r="A50" s="1218">
        <v>41774</v>
      </c>
      <c r="B50" s="1239">
        <v>3.1</v>
      </c>
      <c r="C50" s="1239">
        <v>76</v>
      </c>
      <c r="D50" s="1240">
        <v>36900</v>
      </c>
      <c r="E50" s="1240"/>
      <c r="F50" s="1240">
        <v>45.5</v>
      </c>
      <c r="G50" s="1240">
        <v>7647</v>
      </c>
      <c r="H50" s="1240">
        <v>3924</v>
      </c>
      <c r="I50" s="1240">
        <v>60</v>
      </c>
      <c r="J50" s="1240">
        <v>200</v>
      </c>
      <c r="K50" s="1241">
        <v>2.1</v>
      </c>
      <c r="L50" s="1241">
        <v>68.3</v>
      </c>
      <c r="M50" s="1245">
        <v>22800</v>
      </c>
      <c r="N50" s="1245">
        <v>36.6</v>
      </c>
      <c r="O50" s="1245">
        <v>2165</v>
      </c>
      <c r="P50" s="1245">
        <v>740</v>
      </c>
      <c r="Q50" s="1245">
        <v>78.5</v>
      </c>
      <c r="R50" s="1245">
        <v>133</v>
      </c>
      <c r="S50" s="1241">
        <v>30.404929824385384</v>
      </c>
      <c r="T50" s="1241">
        <v>27.871600306931555</v>
      </c>
      <c r="U50" s="1241">
        <v>38.376547967735284</v>
      </c>
      <c r="V50" s="1241">
        <v>36.133393249925454</v>
      </c>
      <c r="W50" s="1239">
        <v>2.2000000000000002</v>
      </c>
      <c r="X50" s="1239">
        <v>66.7</v>
      </c>
      <c r="Y50" s="1240">
        <v>21600</v>
      </c>
      <c r="Z50" s="1240">
        <v>35.4</v>
      </c>
      <c r="AA50" s="1240">
        <v>2930</v>
      </c>
      <c r="AB50" s="1240">
        <v>719</v>
      </c>
      <c r="AC50" s="1240">
        <v>85.6</v>
      </c>
      <c r="AD50" s="1240">
        <v>115</v>
      </c>
      <c r="AE50" s="1239">
        <v>27.09087886364183</v>
      </c>
      <c r="AF50" s="1239">
        <v>31.3372291210129</v>
      </c>
      <c r="AG50" s="1239">
        <v>36.954435256121279</v>
      </c>
      <c r="AH50" s="1239">
        <v>40.62631534332715</v>
      </c>
    </row>
    <row r="51" spans="1:34">
      <c r="A51" s="1218">
        <v>41781</v>
      </c>
      <c r="B51" s="1239">
        <v>3.1</v>
      </c>
      <c r="C51" s="1239">
        <v>74.8</v>
      </c>
      <c r="D51" s="1240">
        <v>38600</v>
      </c>
      <c r="E51" s="1247"/>
      <c r="F51" s="1239"/>
      <c r="G51" s="1240">
        <v>9492</v>
      </c>
      <c r="H51" s="1240"/>
      <c r="I51" s="1240"/>
      <c r="J51" s="1240"/>
      <c r="K51" s="1241">
        <v>2</v>
      </c>
      <c r="L51" s="1241">
        <v>66.2</v>
      </c>
      <c r="M51" s="1245">
        <v>22700</v>
      </c>
      <c r="N51" s="1245"/>
      <c r="O51" s="1245">
        <v>2426</v>
      </c>
      <c r="P51" s="1245"/>
      <c r="Q51" s="1245"/>
      <c r="R51" s="1245"/>
      <c r="S51" s="1241">
        <v>33.730947647448659</v>
      </c>
      <c r="T51" s="1241">
        <v>32.893491124260343</v>
      </c>
      <c r="U51" s="1241">
        <v>43.260155904978149</v>
      </c>
      <c r="V51" s="1241">
        <v>42.543122072816601</v>
      </c>
      <c r="W51" s="1239">
        <v>2.2000000000000002</v>
      </c>
      <c r="X51" s="1239">
        <v>63.2</v>
      </c>
      <c r="Y51" s="1240">
        <v>21500</v>
      </c>
      <c r="Z51" s="1240"/>
      <c r="AA51" s="1240">
        <v>3294</v>
      </c>
      <c r="AB51" s="1240"/>
      <c r="AC51" s="1240"/>
      <c r="AD51" s="1240"/>
      <c r="AE51" s="1239">
        <v>27.104042412193518</v>
      </c>
      <c r="AF51" s="1239">
        <v>38.364130434782595</v>
      </c>
      <c r="AG51" s="1239">
        <v>40.414592726798801</v>
      </c>
      <c r="AH51" s="1239">
        <v>49.618627531470814</v>
      </c>
    </row>
    <row r="52" spans="1:34">
      <c r="A52" s="1216">
        <v>41788</v>
      </c>
      <c r="B52" s="1239">
        <v>2.9</v>
      </c>
      <c r="C52" s="1239">
        <v>74.400000000000006</v>
      </c>
      <c r="D52" s="1240">
        <v>36800</v>
      </c>
      <c r="E52" s="1239"/>
      <c r="F52" s="1240">
        <v>45.3</v>
      </c>
      <c r="G52" s="1240">
        <v>9526</v>
      </c>
      <c r="H52" s="1240">
        <v>3684</v>
      </c>
      <c r="I52" s="1240">
        <v>70.599999999999994</v>
      </c>
      <c r="J52" s="1240">
        <v>144</v>
      </c>
      <c r="K52" s="1241">
        <v>2.1</v>
      </c>
      <c r="L52" s="1241">
        <v>68.099999999999994</v>
      </c>
      <c r="M52" s="1245">
        <v>21800</v>
      </c>
      <c r="N52" s="1245">
        <v>31.8</v>
      </c>
      <c r="O52" s="1245">
        <v>1422</v>
      </c>
      <c r="P52" s="1245">
        <v>289</v>
      </c>
      <c r="Q52" s="1245">
        <v>78.7</v>
      </c>
      <c r="R52" s="1245">
        <v>136</v>
      </c>
      <c r="S52" s="1241">
        <v>31.102362204724418</v>
      </c>
      <c r="T52" s="1241">
        <v>27.862068965517206</v>
      </c>
      <c r="U52" s="1241">
        <v>39.056357693948826</v>
      </c>
      <c r="V52" s="1241">
        <v>36.190145172646666</v>
      </c>
      <c r="W52" s="1239">
        <v>2.2000000000000002</v>
      </c>
      <c r="X52" s="1239">
        <v>65</v>
      </c>
      <c r="Y52" s="1240">
        <v>21000</v>
      </c>
      <c r="Z52" s="1240">
        <v>36.9</v>
      </c>
      <c r="AA52" s="1240">
        <v>2741</v>
      </c>
      <c r="AB52" s="1240">
        <v>540</v>
      </c>
      <c r="AC52" s="1240">
        <v>89.5</v>
      </c>
      <c r="AD52" s="1240">
        <v>122</v>
      </c>
      <c r="AE52" s="1239">
        <v>27.821522309711291</v>
      </c>
      <c r="AF52" s="1239">
        <v>34.251428571428534</v>
      </c>
      <c r="AG52" s="1239">
        <v>39.060619189110426</v>
      </c>
      <c r="AH52" s="1239">
        <v>44.489308166764353</v>
      </c>
    </row>
    <row r="53" spans="1:34">
      <c r="A53" s="1216">
        <v>41836</v>
      </c>
      <c r="B53" s="1239">
        <v>3.24</v>
      </c>
      <c r="C53" s="1239">
        <v>75.42</v>
      </c>
      <c r="D53" s="1240"/>
      <c r="E53" s="1239">
        <v>6.74</v>
      </c>
      <c r="F53" s="1240"/>
      <c r="G53" s="1240"/>
      <c r="H53" s="1240"/>
      <c r="I53" s="1240"/>
      <c r="J53" s="1240"/>
      <c r="K53" s="1241">
        <v>1.84</v>
      </c>
      <c r="L53" s="1241">
        <v>66.03</v>
      </c>
      <c r="M53" s="1245"/>
      <c r="N53" s="1245"/>
      <c r="O53" s="1245"/>
      <c r="P53" s="1245"/>
      <c r="Q53" s="1245"/>
      <c r="R53" s="1245"/>
      <c r="S53" s="1241">
        <v>41.624365482233507</v>
      </c>
      <c r="T53" s="1241">
        <v>31.410067706800081</v>
      </c>
      <c r="U53" s="1241">
        <v>49.745200166778062</v>
      </c>
      <c r="V53" s="1241">
        <v>40.951848379139619</v>
      </c>
      <c r="W53" s="1239">
        <v>2.15</v>
      </c>
      <c r="X53" s="1239">
        <v>63.64</v>
      </c>
      <c r="Y53" s="1240"/>
      <c r="Z53" s="1240"/>
      <c r="AA53" s="1240"/>
      <c r="AB53" s="1240"/>
      <c r="AC53" s="1240"/>
      <c r="AD53" s="1240"/>
      <c r="AE53" s="1239">
        <v>31.789340101522846</v>
      </c>
      <c r="AF53" s="1239">
        <v>35.918591859185888</v>
      </c>
      <c r="AG53" s="1239">
        <v>43.403827953858062</v>
      </c>
      <c r="AH53" s="1239">
        <v>46.829976348351884</v>
      </c>
    </row>
    <row r="54" spans="1:34">
      <c r="A54" s="1216">
        <v>41850</v>
      </c>
      <c r="B54" s="1239">
        <v>2.74</v>
      </c>
      <c r="C54" s="1239">
        <v>80.459999999999994</v>
      </c>
      <c r="D54" s="1240"/>
      <c r="E54" s="1239">
        <v>7.3</v>
      </c>
      <c r="F54" s="1240"/>
      <c r="G54" s="1240"/>
      <c r="H54" s="1240"/>
      <c r="I54" s="1240"/>
      <c r="J54" s="1240"/>
      <c r="K54" s="1241">
        <v>2.09</v>
      </c>
      <c r="L54" s="1241">
        <v>73.680000000000007</v>
      </c>
      <c r="M54" s="1245"/>
      <c r="N54" s="1245"/>
      <c r="O54" s="1245"/>
      <c r="P54" s="1245"/>
      <c r="Q54" s="1245"/>
      <c r="R54" s="1245"/>
      <c r="S54" s="1241">
        <v>33.77693282636249</v>
      </c>
      <c r="T54" s="1241">
        <v>12.021276595744634</v>
      </c>
      <c r="U54" s="1241">
        <v>36.503623062911714</v>
      </c>
      <c r="V54" s="1241">
        <v>15.643741340566129</v>
      </c>
      <c r="W54" s="1239">
        <v>2.2000000000000002</v>
      </c>
      <c r="X54" s="1239">
        <v>64.2</v>
      </c>
      <c r="Y54" s="1240"/>
      <c r="Z54" s="1240"/>
      <c r="AA54" s="1240"/>
      <c r="AB54" s="1240"/>
      <c r="AC54" s="1240"/>
      <c r="AD54" s="1240"/>
      <c r="AE54" s="1239">
        <v>30.291508238276297</v>
      </c>
      <c r="AF54" s="1239">
        <v>35.318435754189927</v>
      </c>
      <c r="AG54" s="1239">
        <v>41.761423519042971</v>
      </c>
      <c r="AH54" s="1239">
        <v>45.961214609065024</v>
      </c>
    </row>
    <row r="55" spans="1:34">
      <c r="A55" s="1216">
        <v>41857</v>
      </c>
      <c r="B55" s="1239">
        <v>2.84</v>
      </c>
      <c r="C55" s="1239">
        <v>80.62</v>
      </c>
      <c r="D55" s="1240"/>
      <c r="E55" s="1239">
        <v>6.91</v>
      </c>
      <c r="F55" s="1240"/>
      <c r="G55" s="1240"/>
      <c r="H55" s="1240"/>
      <c r="I55" s="1240"/>
      <c r="J55" s="1240"/>
      <c r="K55" s="1241">
        <v>2.0299999999999998</v>
      </c>
      <c r="L55" s="1241">
        <v>67.349999999999994</v>
      </c>
      <c r="M55" s="1245"/>
      <c r="N55" s="1245"/>
      <c r="O55" s="1245"/>
      <c r="P55" s="1245"/>
      <c r="Q55" s="1245"/>
      <c r="R55" s="1245"/>
      <c r="S55" s="1241">
        <v>35.75949367088608</v>
      </c>
      <c r="T55" s="1241">
        <v>29.880551301684534</v>
      </c>
      <c r="U55" s="1241">
        <v>43.887659828472202</v>
      </c>
      <c r="V55" s="1241">
        <v>38.752563097144879</v>
      </c>
      <c r="W55" s="1239">
        <v>2.21</v>
      </c>
      <c r="X55" s="1239">
        <v>65.650000000000006</v>
      </c>
      <c r="Y55" s="1240"/>
      <c r="Z55" s="1240"/>
      <c r="AA55" s="1240"/>
      <c r="AB55" s="1240"/>
      <c r="AC55" s="1240"/>
      <c r="AD55" s="1240"/>
      <c r="AE55" s="1239">
        <v>30.063291139240508</v>
      </c>
      <c r="AF55" s="1239">
        <v>33.350800582241604</v>
      </c>
      <c r="AG55" s="1239">
        <v>40.45411593509116</v>
      </c>
      <c r="AH55" s="1239">
        <v>43.253184683736166</v>
      </c>
    </row>
    <row r="56" spans="1:34">
      <c r="A56" s="1216">
        <v>41864</v>
      </c>
      <c r="B56" s="1239">
        <v>2.62</v>
      </c>
      <c r="C56" s="1239">
        <v>86.04</v>
      </c>
      <c r="D56" s="1240"/>
      <c r="E56" s="1239"/>
      <c r="F56" s="1240"/>
      <c r="G56" s="1240"/>
      <c r="H56" s="1240"/>
      <c r="I56" s="1240"/>
      <c r="J56" s="1240"/>
      <c r="K56" s="1241">
        <v>1.69</v>
      </c>
      <c r="L56" s="1241">
        <v>68.040000000000006</v>
      </c>
      <c r="M56" s="1245"/>
      <c r="N56" s="1245"/>
      <c r="O56" s="1245"/>
      <c r="P56" s="1245"/>
      <c r="Q56" s="1245"/>
      <c r="R56" s="1245"/>
      <c r="S56" s="1241">
        <v>44.843342036553523</v>
      </c>
      <c r="T56" s="1241">
        <v>30.738423028785931</v>
      </c>
      <c r="U56" s="1241">
        <v>51.802386111259402</v>
      </c>
      <c r="V56" s="1241">
        <v>39.477066460477168</v>
      </c>
      <c r="W56" s="1239">
        <v>1.75</v>
      </c>
      <c r="X56" s="1239">
        <v>68.760000000000005</v>
      </c>
      <c r="Y56" s="1240"/>
      <c r="Z56" s="1240"/>
      <c r="AA56" s="1240"/>
      <c r="AB56" s="1240"/>
      <c r="AC56" s="1240"/>
      <c r="AD56" s="1240"/>
      <c r="AE56" s="1239">
        <v>42.885117493472585</v>
      </c>
      <c r="AF56" s="1239">
        <v>29.142125480153602</v>
      </c>
      <c r="AG56" s="1239">
        <v>49.563093070625378</v>
      </c>
      <c r="AH56" s="1239">
        <v>37.426956591176427</v>
      </c>
    </row>
    <row r="57" spans="1:34">
      <c r="A57" s="1216">
        <v>41870</v>
      </c>
      <c r="B57" s="1239">
        <v>2.62</v>
      </c>
      <c r="C57" s="1239">
        <v>72.38</v>
      </c>
      <c r="D57" s="1240"/>
      <c r="E57" s="1239"/>
      <c r="F57" s="1240"/>
      <c r="G57" s="1240"/>
      <c r="H57" s="1240"/>
      <c r="I57" s="1240"/>
      <c r="J57" s="1240"/>
      <c r="K57" s="1241">
        <v>1.85</v>
      </c>
      <c r="L57" s="1241">
        <v>68.69</v>
      </c>
      <c r="M57" s="1245"/>
      <c r="N57" s="1245"/>
      <c r="O57" s="1245"/>
      <c r="P57" s="1245"/>
      <c r="Q57" s="1245"/>
      <c r="R57" s="1245"/>
      <c r="S57" s="1241">
        <v>36.989100817438697</v>
      </c>
      <c r="T57" s="1241">
        <v>27.186202491216815</v>
      </c>
      <c r="U57" s="1241">
        <v>43.936443811687056</v>
      </c>
      <c r="V57" s="1241">
        <v>35.214375911526673</v>
      </c>
      <c r="W57" s="1239">
        <v>1.71</v>
      </c>
      <c r="X57" s="1239">
        <v>68.53</v>
      </c>
      <c r="Y57" s="1240"/>
      <c r="Z57" s="1240"/>
      <c r="AA57" s="1240"/>
      <c r="AB57" s="1240"/>
      <c r="AC57" s="1240"/>
      <c r="AD57" s="1240"/>
      <c r="AE57" s="1239">
        <v>41.757493188010905</v>
      </c>
      <c r="AF57" s="1239">
        <v>27.556402923419078</v>
      </c>
      <c r="AG57" s="1239">
        <v>48.299798038579134</v>
      </c>
      <c r="AH57" s="1239">
        <v>35.693897727285666</v>
      </c>
    </row>
    <row r="58" spans="1:34">
      <c r="F58" s="487"/>
      <c r="AB58" s="487"/>
      <c r="AC58" s="487"/>
      <c r="AD58" s="487"/>
    </row>
    <row r="61" spans="1:34">
      <c r="A61" t="s">
        <v>195</v>
      </c>
    </row>
    <row r="62" spans="1:34" s="337" customFormat="1">
      <c r="A62" s="94" t="s">
        <v>130</v>
      </c>
      <c r="B62" s="1224">
        <f>AVERAGE(B6:B57)</f>
        <v>2.9801682704954735</v>
      </c>
      <c r="C62" s="1224">
        <f t="shared" ref="C62:AH62" si="0">AVERAGE(C6:C57)</f>
        <v>76.980713164144291</v>
      </c>
      <c r="D62" s="1225">
        <f t="shared" si="0"/>
        <v>36235.555555555555</v>
      </c>
      <c r="E62" s="1224">
        <f t="shared" si="0"/>
        <v>6.4041176470588219</v>
      </c>
      <c r="F62" s="1225">
        <f t="shared" si="0"/>
        <v>43.086666666666666</v>
      </c>
      <c r="G62" s="1225">
        <f t="shared" si="0"/>
        <v>5399.3703703703704</v>
      </c>
      <c r="H62" s="1225">
        <f t="shared" si="0"/>
        <v>2423.4</v>
      </c>
      <c r="I62" s="1225">
        <f t="shared" si="0"/>
        <v>39.04</v>
      </c>
      <c r="J62" s="1225">
        <f t="shared" si="0"/>
        <v>177.6</v>
      </c>
      <c r="K62" s="1224">
        <f t="shared" si="0"/>
        <v>2.0117020610566057</v>
      </c>
      <c r="L62" s="1224">
        <f t="shared" si="0"/>
        <v>66.37081158605956</v>
      </c>
      <c r="M62" s="1225">
        <f t="shared" si="0"/>
        <v>21396.296296296296</v>
      </c>
      <c r="N62" s="1225">
        <f t="shared" si="0"/>
        <v>34.139999999999993</v>
      </c>
      <c r="O62" s="1225">
        <f t="shared" si="0"/>
        <v>1458.9615384615386</v>
      </c>
      <c r="P62" s="1225">
        <f t="shared" si="0"/>
        <v>390.73333333333335</v>
      </c>
      <c r="Q62" s="1225">
        <f t="shared" si="0"/>
        <v>64.806666666666672</v>
      </c>
      <c r="R62" s="1225">
        <f t="shared" si="0"/>
        <v>155.1</v>
      </c>
      <c r="S62" s="1224">
        <f t="shared" si="0"/>
        <v>35.092200919277019</v>
      </c>
      <c r="T62" s="1224">
        <f t="shared" si="0"/>
        <v>30.840938608965505</v>
      </c>
      <c r="U62" s="1224">
        <f t="shared" si="0"/>
        <v>43.852081128895456</v>
      </c>
      <c r="V62" s="1224">
        <f t="shared" si="0"/>
        <v>40.103196629350137</v>
      </c>
      <c r="W62" s="1224">
        <f t="shared" si="0"/>
        <v>2.0887379883939987</v>
      </c>
      <c r="X62" s="1224">
        <f t="shared" si="0"/>
        <v>63.764451448088593</v>
      </c>
      <c r="Y62" s="1225">
        <f t="shared" si="0"/>
        <v>20418.518518518518</v>
      </c>
      <c r="Z62" s="1225">
        <f t="shared" si="0"/>
        <v>35.346666666666671</v>
      </c>
      <c r="AA62" s="1225">
        <f t="shared" si="0"/>
        <v>2611.2592592592591</v>
      </c>
      <c r="AB62" s="1225">
        <f t="shared" si="0"/>
        <v>594.5333333333333</v>
      </c>
      <c r="AC62" s="1225">
        <f t="shared" si="0"/>
        <v>76.2</v>
      </c>
      <c r="AD62" s="1225">
        <f t="shared" si="0"/>
        <v>122.83999999999999</v>
      </c>
      <c r="AE62" s="1224">
        <f t="shared" si="0"/>
        <v>32.72284487014155</v>
      </c>
      <c r="AF62" s="1224">
        <f t="shared" si="0"/>
        <v>35.911666853806636</v>
      </c>
      <c r="AG62" s="1224">
        <f t="shared" si="0"/>
        <v>44.185162610673387</v>
      </c>
      <c r="AH62" s="1224">
        <f t="shared" si="0"/>
        <v>46.734748687612019</v>
      </c>
    </row>
    <row r="63" spans="1:34">
      <c r="A63" s="94" t="s">
        <v>64</v>
      </c>
      <c r="B63" s="1224">
        <f>MIN(B6:B57)</f>
        <v>1.6</v>
      </c>
      <c r="C63" s="1224">
        <f t="shared" ref="C63:AH63" si="1">MIN(C6:C57)</f>
        <v>70.900000000000006</v>
      </c>
      <c r="D63" s="1225">
        <f t="shared" si="1"/>
        <v>4760</v>
      </c>
      <c r="E63" s="1224">
        <f t="shared" si="1"/>
        <v>5.68</v>
      </c>
      <c r="F63" s="1225">
        <f t="shared" si="1"/>
        <v>31.7</v>
      </c>
      <c r="G63" s="1225">
        <f t="shared" si="1"/>
        <v>2858</v>
      </c>
      <c r="H63" s="1225">
        <f t="shared" si="1"/>
        <v>1075</v>
      </c>
      <c r="I63" s="1225">
        <f t="shared" si="1"/>
        <v>18</v>
      </c>
      <c r="J63" s="1225">
        <f t="shared" si="1"/>
        <v>22</v>
      </c>
      <c r="K63" s="1224">
        <f t="shared" si="1"/>
        <v>1.5305101700566868</v>
      </c>
      <c r="L63" s="1224">
        <f t="shared" si="1"/>
        <v>62.63</v>
      </c>
      <c r="M63" s="1225">
        <f t="shared" si="1"/>
        <v>16200</v>
      </c>
      <c r="N63" s="1225">
        <f t="shared" si="1"/>
        <v>26.4</v>
      </c>
      <c r="O63" s="1225">
        <f t="shared" si="1"/>
        <v>777</v>
      </c>
      <c r="P63" s="1225">
        <f t="shared" si="1"/>
        <v>175</v>
      </c>
      <c r="Q63" s="1225">
        <f t="shared" si="1"/>
        <v>38.700000000000003</v>
      </c>
      <c r="R63" s="1225">
        <f t="shared" si="1"/>
        <v>92.5</v>
      </c>
      <c r="S63" s="1224">
        <f t="shared" si="1"/>
        <v>27.051671732522799</v>
      </c>
      <c r="T63" s="1224">
        <f t="shared" si="1"/>
        <v>12.021276595744634</v>
      </c>
      <c r="U63" s="1224">
        <f t="shared" si="1"/>
        <v>35.486596408543591</v>
      </c>
      <c r="V63" s="1224">
        <f t="shared" si="1"/>
        <v>15.643741340566129</v>
      </c>
      <c r="W63" s="1224">
        <f t="shared" si="1"/>
        <v>1.54</v>
      </c>
      <c r="X63" s="1224">
        <f t="shared" si="1"/>
        <v>60.72</v>
      </c>
      <c r="Y63" s="1225">
        <f t="shared" si="1"/>
        <v>15700</v>
      </c>
      <c r="Z63" s="1225">
        <f t="shared" si="1"/>
        <v>27.5</v>
      </c>
      <c r="AA63" s="1225">
        <f t="shared" si="1"/>
        <v>1815</v>
      </c>
      <c r="AB63" s="1225">
        <f t="shared" si="1"/>
        <v>375</v>
      </c>
      <c r="AC63" s="1225">
        <f t="shared" si="1"/>
        <v>62.4</v>
      </c>
      <c r="AD63" s="1225">
        <f t="shared" si="1"/>
        <v>77.3</v>
      </c>
      <c r="AE63" s="1224">
        <f t="shared" si="1"/>
        <v>21.092564491654027</v>
      </c>
      <c r="AF63" s="1224">
        <f t="shared" si="1"/>
        <v>27.556402923419078</v>
      </c>
      <c r="AG63" s="1224">
        <f t="shared" si="1"/>
        <v>35.276496254497012</v>
      </c>
      <c r="AH63" s="1224">
        <f t="shared" si="1"/>
        <v>35.693897727285666</v>
      </c>
    </row>
    <row r="64" spans="1:34">
      <c r="A64" s="94" t="s">
        <v>66</v>
      </c>
      <c r="B64" s="1224">
        <f>MAX(B6:B57)</f>
        <v>3.96</v>
      </c>
      <c r="C64" s="1224">
        <f t="shared" ref="C64:AH64" si="2">MAX(C6:C57)</f>
        <v>86.93</v>
      </c>
      <c r="D64" s="1225">
        <f t="shared" si="2"/>
        <v>51200</v>
      </c>
      <c r="E64" s="1224">
        <f t="shared" si="2"/>
        <v>7.3</v>
      </c>
      <c r="F64" s="1225">
        <f t="shared" si="2"/>
        <v>53.1</v>
      </c>
      <c r="G64" s="1225">
        <f t="shared" si="2"/>
        <v>9526</v>
      </c>
      <c r="H64" s="1225">
        <f t="shared" si="2"/>
        <v>4958</v>
      </c>
      <c r="I64" s="1225">
        <f t="shared" si="2"/>
        <v>70.599999999999994</v>
      </c>
      <c r="J64" s="1225">
        <f t="shared" si="2"/>
        <v>259</v>
      </c>
      <c r="K64" s="1224">
        <f t="shared" si="2"/>
        <v>2.6</v>
      </c>
      <c r="L64" s="1224">
        <f t="shared" si="2"/>
        <v>73.680000000000007</v>
      </c>
      <c r="M64" s="1225">
        <f t="shared" si="2"/>
        <v>26400</v>
      </c>
      <c r="N64" s="1225">
        <f t="shared" si="2"/>
        <v>44</v>
      </c>
      <c r="O64" s="1225">
        <f t="shared" si="2"/>
        <v>2426</v>
      </c>
      <c r="P64" s="1225">
        <f t="shared" si="2"/>
        <v>740</v>
      </c>
      <c r="Q64" s="1225">
        <f t="shared" si="2"/>
        <v>80.7</v>
      </c>
      <c r="R64" s="1225">
        <f t="shared" si="2"/>
        <v>209</v>
      </c>
      <c r="S64" s="1224">
        <f t="shared" si="2"/>
        <v>44.843342036553523</v>
      </c>
      <c r="T64" s="1224">
        <f t="shared" si="2"/>
        <v>41.578806529301545</v>
      </c>
      <c r="U64" s="1224">
        <f t="shared" si="2"/>
        <v>55.739805570220938</v>
      </c>
      <c r="V64" s="1224">
        <f t="shared" si="2"/>
        <v>53.191595703230938</v>
      </c>
      <c r="W64" s="1224">
        <f t="shared" si="2"/>
        <v>2.7</v>
      </c>
      <c r="X64" s="1224">
        <f t="shared" si="2"/>
        <v>68.760000000000005</v>
      </c>
      <c r="Y64" s="1225">
        <f t="shared" si="2"/>
        <v>25500</v>
      </c>
      <c r="Z64" s="1225">
        <f t="shared" si="2"/>
        <v>47.7</v>
      </c>
      <c r="AA64" s="1225">
        <f t="shared" si="2"/>
        <v>3457</v>
      </c>
      <c r="AB64" s="1225">
        <f t="shared" si="2"/>
        <v>822</v>
      </c>
      <c r="AC64" s="1225">
        <f t="shared" si="2"/>
        <v>92.2</v>
      </c>
      <c r="AD64" s="1225">
        <f t="shared" si="2"/>
        <v>163</v>
      </c>
      <c r="AE64" s="1224">
        <f t="shared" si="2"/>
        <v>45.467422096317271</v>
      </c>
      <c r="AF64" s="1224">
        <f t="shared" si="2"/>
        <v>43.717452951791678</v>
      </c>
      <c r="AG64" s="1224">
        <f t="shared" si="2"/>
        <v>57.297882848679514</v>
      </c>
      <c r="AH64" s="1224">
        <f t="shared" si="2"/>
        <v>55.92755725078252</v>
      </c>
    </row>
    <row r="65" spans="1:34" ht="6" customHeight="1"/>
    <row r="66" spans="1:34" ht="26.25" thickBot="1">
      <c r="K66" s="49" t="s">
        <v>57</v>
      </c>
      <c r="L66" s="49" t="s">
        <v>52</v>
      </c>
      <c r="M66" s="54" t="s">
        <v>58</v>
      </c>
      <c r="N66" s="54" t="s">
        <v>59</v>
      </c>
      <c r="O66" s="54" t="s">
        <v>60</v>
      </c>
      <c r="P66" s="54" t="s">
        <v>100</v>
      </c>
      <c r="Q66" s="660" t="s">
        <v>81</v>
      </c>
      <c r="W66" s="658" t="s">
        <v>57</v>
      </c>
      <c r="X66" s="658" t="s">
        <v>52</v>
      </c>
      <c r="Y66" s="659" t="s">
        <v>58</v>
      </c>
      <c r="Z66" s="659" t="s">
        <v>59</v>
      </c>
      <c r="AA66" s="659" t="s">
        <v>60</v>
      </c>
      <c r="AB66" s="659" t="s">
        <v>100</v>
      </c>
      <c r="AC66" s="661" t="s">
        <v>81</v>
      </c>
    </row>
    <row r="67" spans="1:34">
      <c r="J67" s="337" t="s">
        <v>130</v>
      </c>
      <c r="K67" s="657">
        <f>AVERAGE(DANE!AR408:AR714)</f>
        <v>838.67316854508181</v>
      </c>
      <c r="L67" s="657">
        <f>AVERAGE(DANE!AS408:AS714)</f>
        <v>34.944715356045045</v>
      </c>
      <c r="M67" s="657">
        <f>AVERAGE(DANE!AT408:AT714)</f>
        <v>1143.6296584882227</v>
      </c>
      <c r="N67" s="657">
        <f>AVERAGE(DANE!AU408:AU714)</f>
        <v>920.92294907142991</v>
      </c>
      <c r="O67" s="657">
        <f>AVERAGE(DANE!AV408:AV714)</f>
        <v>879.86067550195253</v>
      </c>
      <c r="P67" s="656">
        <f>AVERAGE(DANE!AW408:AW714)</f>
        <v>0.58967409744842503</v>
      </c>
      <c r="Q67" s="656">
        <f>AVERAGE(DANE!AO408:AO714)</f>
        <v>45.850131529621891</v>
      </c>
      <c r="V67" s="337" t="s">
        <v>130</v>
      </c>
      <c r="W67" s="657">
        <f>AVERAGE(DANE!CC408:CC714)</f>
        <v>423.29519171463818</v>
      </c>
      <c r="X67" s="657">
        <f>AVERAGE(DANE!CD408:CD714)</f>
        <v>17.637299654776598</v>
      </c>
      <c r="Y67" s="657">
        <f>AVERAGE(DANE!CE408:CE714)</f>
        <v>784.95371549195136</v>
      </c>
      <c r="Z67" s="657">
        <f>AVERAGE(DANE!CF408:CF714)</f>
        <v>570.79683084660724</v>
      </c>
      <c r="AA67" s="657">
        <f>AVERAGE(DANE!CG408:CG714)</f>
        <v>603.66074459874858</v>
      </c>
      <c r="AB67" s="656">
        <f>AVERAGE(DANE!CH408:CH714)</f>
        <v>0.5637112017086775</v>
      </c>
      <c r="AC67" s="656">
        <f>AVERAGE(DANE!BZ408:BZ714)</f>
        <v>31.121835669395015</v>
      </c>
    </row>
    <row r="68" spans="1:34">
      <c r="J68" t="s">
        <v>64</v>
      </c>
      <c r="K68" s="657">
        <f>MIN(DANE!AR408:AR714)</f>
        <v>60.346874999999955</v>
      </c>
      <c r="L68" s="657">
        <f>MIN(DANE!AS408:AS714)</f>
        <v>2.514453124999998</v>
      </c>
      <c r="M68" s="657">
        <f>MIN(DANE!AT408:AT714)</f>
        <v>0</v>
      </c>
      <c r="N68" s="657">
        <v>0</v>
      </c>
      <c r="O68" s="657">
        <f>MIN(DANE!AV408:AV714)</f>
        <v>0</v>
      </c>
      <c r="P68" s="656">
        <f>MIN(DANE!AW408:AW714)</f>
        <v>0</v>
      </c>
      <c r="V68" t="s">
        <v>64</v>
      </c>
      <c r="W68" s="657">
        <f>MIN(DANE!CC408:CC714)</f>
        <v>0</v>
      </c>
      <c r="X68" s="657">
        <f>MIN(DANE!CD408:CD714)</f>
        <v>0</v>
      </c>
      <c r="Y68" s="657">
        <f>MIN(DANE!CE408:CE714)</f>
        <v>0</v>
      </c>
      <c r="Z68" s="657">
        <v>0</v>
      </c>
      <c r="AA68" s="657">
        <f>MIN(DANE!CG408:CG714)</f>
        <v>0</v>
      </c>
      <c r="AB68" s="656">
        <f>MIN(DANE!CH408:CH714)</f>
        <v>0</v>
      </c>
    </row>
    <row r="69" spans="1:34">
      <c r="J69" t="s">
        <v>66</v>
      </c>
      <c r="K69" s="657">
        <f>MAX(DANE!AR408:AR714)</f>
        <v>1689.7125000000087</v>
      </c>
      <c r="L69" s="657">
        <f>MAX(DANE!AS408:AS714)</f>
        <v>70.404687500000364</v>
      </c>
      <c r="M69" s="657">
        <f>MAX(DANE!AT408:AT714)</f>
        <v>16762.130716300722</v>
      </c>
      <c r="N69" s="657">
        <f>MAX(DANE!AU408:AU714)</f>
        <v>2619.0439166622637</v>
      </c>
      <c r="O69" s="657">
        <f>MAX(DANE!AV408:AV714)</f>
        <v>12960.144227229392</v>
      </c>
      <c r="P69" s="656">
        <f>MAX(DANE!AW408:AW714)</f>
        <v>1.1958333333333395</v>
      </c>
      <c r="V69" t="s">
        <v>66</v>
      </c>
      <c r="W69" s="657">
        <f>MAX(DANE!CC408:CC714)</f>
        <v>981.25</v>
      </c>
      <c r="X69" s="657">
        <f>MAX(DANE!CD408:CD714)</f>
        <v>40.885416666666664</v>
      </c>
      <c r="Y69" s="657">
        <f>MAX(DANE!CE408:CE714)</f>
        <v>9222.183428907354</v>
      </c>
      <c r="Z69" s="657">
        <f>MAX(DANE!CF408:CF714)</f>
        <v>2123.0643798620958</v>
      </c>
      <c r="AA69" s="657">
        <f>MAX(DANE!CG408:CG714)</f>
        <v>7113.5586051897744</v>
      </c>
      <c r="AB69" s="656">
        <f>MAX(DANE!CH408:CH714)</f>
        <v>1.3153485254691688</v>
      </c>
    </row>
    <row r="70" spans="1:34">
      <c r="A70" t="s">
        <v>193</v>
      </c>
      <c r="C70" t="s">
        <v>189</v>
      </c>
    </row>
    <row r="71" spans="1:34">
      <c r="A71" s="933" t="s">
        <v>130</v>
      </c>
      <c r="B71" s="1219">
        <f>AVERAGE(B6:B43)</f>
        <v>2.9639144754148572</v>
      </c>
      <c r="C71" s="1219">
        <f t="shared" ref="C71:AH71" si="3">AVERAGE(C6:C43)</f>
        <v>76.749923277250076</v>
      </c>
      <c r="D71" s="1220">
        <f t="shared" si="3"/>
        <v>36775</v>
      </c>
      <c r="E71" s="1219">
        <f t="shared" si="3"/>
        <v>6.3261538461538454</v>
      </c>
      <c r="F71" s="1220">
        <f t="shared" si="3"/>
        <v>41.854545454545459</v>
      </c>
      <c r="G71" s="1220">
        <f t="shared" si="3"/>
        <v>4447.3999999999996</v>
      </c>
      <c r="H71" s="1220">
        <f t="shared" si="3"/>
        <v>1886.3636363636363</v>
      </c>
      <c r="I71" s="1220">
        <f t="shared" si="3"/>
        <v>34.036363636363639</v>
      </c>
      <c r="J71" s="1220">
        <f t="shared" si="3"/>
        <v>173.45454545454547</v>
      </c>
      <c r="K71" s="1219">
        <f t="shared" si="3"/>
        <v>2.0446975572353558</v>
      </c>
      <c r="L71" s="1219">
        <f t="shared" si="3"/>
        <v>65.998742170397307</v>
      </c>
      <c r="M71" s="1220">
        <f t="shared" si="3"/>
        <v>21545</v>
      </c>
      <c r="N71" s="1220">
        <f t="shared" si="3"/>
        <v>34.845454545454537</v>
      </c>
      <c r="O71" s="1220">
        <f t="shared" si="3"/>
        <v>1399.578947368421</v>
      </c>
      <c r="P71" s="1220">
        <f t="shared" si="3"/>
        <v>394.45454545454544</v>
      </c>
      <c r="Q71" s="1220">
        <f t="shared" si="3"/>
        <v>65</v>
      </c>
      <c r="R71" s="1220">
        <f t="shared" si="3"/>
        <v>153.5</v>
      </c>
      <c r="S71" s="1219">
        <f t="shared" si="3"/>
        <v>34.711551627615684</v>
      </c>
      <c r="T71" s="1219">
        <f t="shared" si="3"/>
        <v>31.334722995410463</v>
      </c>
      <c r="U71" s="1219">
        <f t="shared" si="3"/>
        <v>43.742773202251335</v>
      </c>
      <c r="V71" s="1219">
        <f t="shared" si="3"/>
        <v>40.784851628795806</v>
      </c>
      <c r="W71" s="1219">
        <f t="shared" si="3"/>
        <v>2.1172204051707353</v>
      </c>
      <c r="X71" s="1219">
        <f t="shared" si="3"/>
        <v>63.346354613173879</v>
      </c>
      <c r="Y71" s="1220">
        <f t="shared" si="3"/>
        <v>20540</v>
      </c>
      <c r="Z71" s="1220">
        <f t="shared" si="3"/>
        <v>35.800000000000004</v>
      </c>
      <c r="AA71" s="1220">
        <f t="shared" si="3"/>
        <v>2542.35</v>
      </c>
      <c r="AB71" s="1220">
        <f t="shared" si="3"/>
        <v>566.27272727272725</v>
      </c>
      <c r="AC71" s="1220">
        <f t="shared" si="3"/>
        <v>74.872727272727275</v>
      </c>
      <c r="AD71" s="1220">
        <f t="shared" si="3"/>
        <v>119.41818181818181</v>
      </c>
      <c r="AE71" s="1219">
        <f t="shared" si="3"/>
        <v>32.541693445426745</v>
      </c>
      <c r="AF71" s="1219">
        <f t="shared" si="3"/>
        <v>36.392539936808873</v>
      </c>
      <c r="AG71" s="1219">
        <f t="shared" si="3"/>
        <v>44.314183693764029</v>
      </c>
      <c r="AH71" s="1219">
        <f t="shared" si="3"/>
        <v>47.414561537003785</v>
      </c>
    </row>
    <row r="72" spans="1:34">
      <c r="A72" s="933" t="s">
        <v>64</v>
      </c>
      <c r="B72" s="1219">
        <f>MIN(B6:B43)</f>
        <v>1.6</v>
      </c>
      <c r="C72" s="1219">
        <f t="shared" ref="C72:AH72" si="4">MIN(C6:C43)</f>
        <v>70.900000000000006</v>
      </c>
      <c r="D72" s="1220">
        <f t="shared" si="4"/>
        <v>24500</v>
      </c>
      <c r="E72" s="1219">
        <f t="shared" si="4"/>
        <v>5.84</v>
      </c>
      <c r="F72" s="1220">
        <f t="shared" si="4"/>
        <v>31.7</v>
      </c>
      <c r="G72" s="1220">
        <f t="shared" si="4"/>
        <v>2858</v>
      </c>
      <c r="H72" s="1220">
        <f t="shared" si="4"/>
        <v>1075</v>
      </c>
      <c r="I72" s="1220">
        <f t="shared" si="4"/>
        <v>18</v>
      </c>
      <c r="J72" s="1220">
        <f t="shared" si="4"/>
        <v>22</v>
      </c>
      <c r="K72" s="1219">
        <f t="shared" si="4"/>
        <v>1.5305101700566868</v>
      </c>
      <c r="L72" s="1219">
        <f t="shared" si="4"/>
        <v>62.63</v>
      </c>
      <c r="M72" s="1220">
        <f t="shared" si="4"/>
        <v>16200</v>
      </c>
      <c r="N72" s="1220">
        <f t="shared" si="4"/>
        <v>26.4</v>
      </c>
      <c r="O72" s="1220">
        <f t="shared" si="4"/>
        <v>777</v>
      </c>
      <c r="P72" s="1220">
        <f t="shared" si="4"/>
        <v>175</v>
      </c>
      <c r="Q72" s="1220">
        <f t="shared" si="4"/>
        <v>50.6</v>
      </c>
      <c r="R72" s="1220">
        <f t="shared" si="4"/>
        <v>92.5</v>
      </c>
      <c r="S72" s="1219">
        <f t="shared" si="4"/>
        <v>27.051671732522799</v>
      </c>
      <c r="T72" s="1219">
        <f t="shared" si="4"/>
        <v>22.991777356103761</v>
      </c>
      <c r="U72" s="1219">
        <f t="shared" si="4"/>
        <v>35.486596408543591</v>
      </c>
      <c r="V72" s="1219">
        <f t="shared" si="4"/>
        <v>30.392303180573379</v>
      </c>
      <c r="W72" s="1219">
        <f t="shared" si="4"/>
        <v>1.54</v>
      </c>
      <c r="X72" s="1219">
        <f t="shared" si="4"/>
        <v>60.72</v>
      </c>
      <c r="Y72" s="1220">
        <f t="shared" si="4"/>
        <v>15700</v>
      </c>
      <c r="Z72" s="1220">
        <f t="shared" si="4"/>
        <v>27.5</v>
      </c>
      <c r="AA72" s="1220">
        <f t="shared" si="4"/>
        <v>1815</v>
      </c>
      <c r="AB72" s="1220">
        <f t="shared" si="4"/>
        <v>375</v>
      </c>
      <c r="AC72" s="1220">
        <f t="shared" si="4"/>
        <v>62.4</v>
      </c>
      <c r="AD72" s="1220">
        <f t="shared" si="4"/>
        <v>77.3</v>
      </c>
      <c r="AE72" s="1219">
        <f t="shared" si="4"/>
        <v>21.092564491654027</v>
      </c>
      <c r="AF72" s="1219">
        <f t="shared" si="4"/>
        <v>31.017235742151826</v>
      </c>
      <c r="AG72" s="1219">
        <f t="shared" si="4"/>
        <v>35.276496254497012</v>
      </c>
      <c r="AH72" s="1219">
        <f t="shared" si="4"/>
        <v>40.596498616324602</v>
      </c>
    </row>
    <row r="73" spans="1:34">
      <c r="A73" s="933" t="s">
        <v>66</v>
      </c>
      <c r="B73" s="1219">
        <f>MAX(B6:B43)</f>
        <v>3.96</v>
      </c>
      <c r="C73" s="1219">
        <f t="shared" ref="C73:AH73" si="5">MAX(C6:C43)</f>
        <v>86.93</v>
      </c>
      <c r="D73" s="1220">
        <f t="shared" si="5"/>
        <v>46300</v>
      </c>
      <c r="E73" s="1219">
        <f t="shared" si="5"/>
        <v>7.15</v>
      </c>
      <c r="F73" s="1220">
        <f t="shared" si="5"/>
        <v>53.1</v>
      </c>
      <c r="G73" s="1220">
        <f t="shared" si="5"/>
        <v>6876</v>
      </c>
      <c r="H73" s="1220">
        <f t="shared" si="5"/>
        <v>2291</v>
      </c>
      <c r="I73" s="1220">
        <f t="shared" si="5"/>
        <v>48.8</v>
      </c>
      <c r="J73" s="1220">
        <f t="shared" si="5"/>
        <v>252</v>
      </c>
      <c r="K73" s="1219">
        <f t="shared" si="5"/>
        <v>2.6</v>
      </c>
      <c r="L73" s="1219">
        <f t="shared" si="5"/>
        <v>71.03</v>
      </c>
      <c r="M73" s="1220">
        <f t="shared" si="5"/>
        <v>26400</v>
      </c>
      <c r="N73" s="1220">
        <f t="shared" si="5"/>
        <v>44</v>
      </c>
      <c r="O73" s="1220">
        <f t="shared" si="5"/>
        <v>1770</v>
      </c>
      <c r="P73" s="1220">
        <f t="shared" si="5"/>
        <v>591</v>
      </c>
      <c r="Q73" s="1220">
        <f t="shared" si="5"/>
        <v>80.7</v>
      </c>
      <c r="R73" s="1220">
        <f t="shared" si="5"/>
        <v>209</v>
      </c>
      <c r="S73" s="1219">
        <f t="shared" si="5"/>
        <v>44.759206798866849</v>
      </c>
      <c r="T73" s="1219">
        <f t="shared" si="5"/>
        <v>41.578806529301545</v>
      </c>
      <c r="U73" s="1219">
        <f t="shared" si="5"/>
        <v>55.739805570220938</v>
      </c>
      <c r="V73" s="1219">
        <f t="shared" si="5"/>
        <v>53.191595703230938</v>
      </c>
      <c r="W73" s="1219">
        <f t="shared" si="5"/>
        <v>2.7</v>
      </c>
      <c r="X73" s="1219">
        <f t="shared" si="5"/>
        <v>66.92</v>
      </c>
      <c r="Y73" s="1220">
        <f t="shared" si="5"/>
        <v>25500</v>
      </c>
      <c r="Z73" s="1220">
        <f t="shared" si="5"/>
        <v>47.7</v>
      </c>
      <c r="AA73" s="1220">
        <f t="shared" si="5"/>
        <v>3457</v>
      </c>
      <c r="AB73" s="1220">
        <f t="shared" si="5"/>
        <v>822</v>
      </c>
      <c r="AC73" s="1220">
        <f t="shared" si="5"/>
        <v>92.2</v>
      </c>
      <c r="AD73" s="1220">
        <f t="shared" si="5"/>
        <v>159</v>
      </c>
      <c r="AE73" s="1219">
        <f t="shared" si="5"/>
        <v>45.467422096317271</v>
      </c>
      <c r="AF73" s="1219">
        <f t="shared" si="5"/>
        <v>43.717452951791678</v>
      </c>
      <c r="AG73" s="1219">
        <f t="shared" si="5"/>
        <v>57.297882848679514</v>
      </c>
      <c r="AH73" s="1219">
        <f t="shared" si="5"/>
        <v>55.92755725078252</v>
      </c>
    </row>
    <row r="75" spans="1:34" ht="26.25" thickBot="1">
      <c r="K75" s="49" t="s">
        <v>57</v>
      </c>
      <c r="L75" s="49" t="s">
        <v>52</v>
      </c>
      <c r="M75" s="54" t="s">
        <v>58</v>
      </c>
      <c r="N75" s="54" t="s">
        <v>59</v>
      </c>
      <c r="O75" s="54" t="s">
        <v>60</v>
      </c>
      <c r="P75" s="54" t="s">
        <v>100</v>
      </c>
      <c r="W75" s="658" t="s">
        <v>57</v>
      </c>
      <c r="X75" s="658" t="s">
        <v>52</v>
      </c>
      <c r="Y75" s="659" t="s">
        <v>58</v>
      </c>
      <c r="Z75" s="659" t="s">
        <v>59</v>
      </c>
      <c r="AA75" s="659" t="s">
        <v>60</v>
      </c>
      <c r="AB75" s="659" t="s">
        <v>100</v>
      </c>
      <c r="AC75" s="661" t="s">
        <v>81</v>
      </c>
    </row>
    <row r="76" spans="1:34">
      <c r="J76" s="337" t="s">
        <v>130</v>
      </c>
      <c r="K76" s="657">
        <f>AVERAGE(DANE!AR408:AR579)</f>
        <v>897.74851102941147</v>
      </c>
      <c r="L76" s="657">
        <f>AVERAGE(DANE!AS408:AS579)</f>
        <v>37.406187959558807</v>
      </c>
      <c r="M76" s="657">
        <f>AVERAGE(DANE!AT408:AT579)</f>
        <v>697.69426871174551</v>
      </c>
      <c r="N76" s="657">
        <f>AVERAGE(DANE!AU408:AU579)</f>
        <v>644.08922345132851</v>
      </c>
      <c r="O76" s="657">
        <f>AVERAGE(DANE!AV408:AV579)</f>
        <v>535.92828182917481</v>
      </c>
      <c r="P76" s="656">
        <f>AVERAGE(DANE!AW408:AW579)</f>
        <v>0.62796148255813944</v>
      </c>
      <c r="Q76" s="656">
        <f>AVERAGE(DANE!AO408:AO579)</f>
        <v>30.163146356956219</v>
      </c>
      <c r="V76" s="337" t="s">
        <v>130</v>
      </c>
      <c r="W76" s="657">
        <f>AVERAGE(DANE!CC408:CC579)</f>
        <v>506.77352995562131</v>
      </c>
      <c r="X76" s="657">
        <f>AVERAGE(DANE!CD408:CD579)</f>
        <v>21.115563748150873</v>
      </c>
      <c r="Y76" s="657">
        <f>AVERAGE(DANE!CE408:CE579)</f>
        <v>675.66685248992485</v>
      </c>
      <c r="Z76" s="657">
        <f>AVERAGE(DANE!CF408:CF579)</f>
        <v>297.12457868525837</v>
      </c>
      <c r="AA76" s="657">
        <f>AVERAGE(DANE!CG408:CG579)</f>
        <v>518.8219589040807</v>
      </c>
      <c r="AB76" s="656">
        <f>AVERAGE(DANE!CH408:CH579)</f>
        <v>0.67137580987488832</v>
      </c>
      <c r="AC76" s="656">
        <f>AVERAGE(DANE!BZ408:BZ579)</f>
        <v>24.856631314377474</v>
      </c>
    </row>
    <row r="77" spans="1:34">
      <c r="J77" t="s">
        <v>64</v>
      </c>
      <c r="K77" s="657">
        <f>MIN(DANE!AR408:AR579)</f>
        <v>60.346874999999955</v>
      </c>
      <c r="L77" s="657">
        <f>MIN(DANE!AS408:AS579)</f>
        <v>2.514453124999998</v>
      </c>
      <c r="M77" s="657">
        <f>MIN(DANE!AT408:AT579)</f>
        <v>0</v>
      </c>
      <c r="N77" s="657">
        <v>0</v>
      </c>
      <c r="O77" s="657">
        <f>MIN(DANE!AV408:AV579)</f>
        <v>0</v>
      </c>
      <c r="P77" s="656">
        <f>MIN(DANE!AW408:AW579)</f>
        <v>0</v>
      </c>
      <c r="V77" t="s">
        <v>64</v>
      </c>
      <c r="W77" s="657">
        <f>MIN(DANE!CC408:CC579)</f>
        <v>183.984375</v>
      </c>
      <c r="X77" s="657">
        <f>MIN(DANE!CD408:CD579)</f>
        <v>7.666015625</v>
      </c>
      <c r="Y77" s="657">
        <f>MIN(DANE!CE408:CE579)</f>
        <v>0</v>
      </c>
      <c r="Z77" s="657">
        <v>0</v>
      </c>
      <c r="AA77" s="657">
        <f>MIN(DANE!CG408:CG579)</f>
        <v>0</v>
      </c>
      <c r="AB77" s="656">
        <f>MIN(DANE!CH408:CH579)</f>
        <v>0</v>
      </c>
    </row>
    <row r="78" spans="1:34">
      <c r="J78" t="s">
        <v>66</v>
      </c>
      <c r="K78" s="657">
        <f>MAX(DANE!AR408:AR579)</f>
        <v>1448.3249999999971</v>
      </c>
      <c r="L78" s="657">
        <f>MAX(DANE!AS408:AS579)</f>
        <v>60.346874999999876</v>
      </c>
      <c r="M78" s="657">
        <f>MAX(DANE!AT408:AT579)</f>
        <v>2822.4443081505397</v>
      </c>
      <c r="N78" s="657">
        <f>MAX(DANE!AU408:AU579)</f>
        <v>1779.2208878714039</v>
      </c>
      <c r="O78" s="657">
        <f>MAX(DANE!AV408:AV579)</f>
        <v>2137.0494823141698</v>
      </c>
      <c r="P78" s="656">
        <f>MAX(DANE!AW408:AW579)</f>
        <v>1.0249999999999979</v>
      </c>
      <c r="V78" t="s">
        <v>66</v>
      </c>
      <c r="W78" s="657">
        <f>MAX(DANE!CC408:CC579)</f>
        <v>797.265625</v>
      </c>
      <c r="X78" s="657">
        <f>MAX(DANE!CD408:CD579)</f>
        <v>33.219401041666664</v>
      </c>
      <c r="Y78" s="657">
        <f>MAX(DANE!CE408:CE579)</f>
        <v>1172.8900943422923</v>
      </c>
      <c r="Z78" s="657">
        <f>MAX(DANE!CF408:CF579)</f>
        <v>1616.8103081431914</v>
      </c>
      <c r="AA78" s="657">
        <f>MAX(DANE!CG408:CG579)</f>
        <v>902.13158259041131</v>
      </c>
      <c r="AB78" s="656">
        <f>MAX(DANE!CH408:CH579)</f>
        <v>1.0687206769436997</v>
      </c>
    </row>
    <row r="80" spans="1:34">
      <c r="K80" s="33" t="s">
        <v>41</v>
      </c>
      <c r="L80" s="33" t="s">
        <v>42</v>
      </c>
      <c r="M80" s="33" t="s">
        <v>43</v>
      </c>
      <c r="N80" s="33" t="s">
        <v>44</v>
      </c>
      <c r="O80" s="33" t="s">
        <v>45</v>
      </c>
      <c r="W80" s="38" t="s">
        <v>41</v>
      </c>
      <c r="X80" s="38" t="s">
        <v>42</v>
      </c>
      <c r="Y80" s="38" t="s">
        <v>43</v>
      </c>
      <c r="Z80" s="38" t="s">
        <v>44</v>
      </c>
      <c r="AA80" s="38" t="s">
        <v>45</v>
      </c>
    </row>
    <row r="81" spans="1:34" ht="15" thickBot="1">
      <c r="K81" s="49" t="s">
        <v>47</v>
      </c>
      <c r="L81" s="49" t="s">
        <v>47</v>
      </c>
      <c r="M81" s="49" t="s">
        <v>47</v>
      </c>
      <c r="N81" s="49" t="s">
        <v>61</v>
      </c>
      <c r="O81" s="49" t="s">
        <v>61</v>
      </c>
      <c r="W81" s="57" t="s">
        <v>47</v>
      </c>
      <c r="X81" s="57" t="s">
        <v>47</v>
      </c>
      <c r="Y81" s="57" t="s">
        <v>47</v>
      </c>
      <c r="Z81" s="57" t="s">
        <v>61</v>
      </c>
      <c r="AA81" s="57" t="s">
        <v>61</v>
      </c>
    </row>
    <row r="82" spans="1:34">
      <c r="J82" s="337" t="s">
        <v>130</v>
      </c>
      <c r="K82" s="662">
        <f>AVERAGE(DANE!AX408:AX579)</f>
        <v>68.376923076923077</v>
      </c>
      <c r="L82" s="662">
        <f>AVERAGE(DANE!AY408:AY579)</f>
        <v>31.115384615384617</v>
      </c>
      <c r="M82" s="662">
        <f>AVERAGE(DANE!AZ408:AZ579)</f>
        <v>0</v>
      </c>
      <c r="N82" s="662">
        <f>AVERAGE(DANE!BA408:BA579)</f>
        <v>15.923076923076923</v>
      </c>
      <c r="O82" s="662">
        <f>AVERAGE(DANE!BB408:BB579)</f>
        <v>93.84615384615384</v>
      </c>
      <c r="P82" s="656"/>
      <c r="V82" s="337" t="s">
        <v>130</v>
      </c>
      <c r="W82" s="662">
        <f>AVERAGE(DANE!CI408:CI579)</f>
        <v>67.469230769230776</v>
      </c>
      <c r="X82" s="662">
        <f>AVERAGE(DANE!CJ408:CJ579)</f>
        <v>32.023076923076914</v>
      </c>
      <c r="Y82" s="662">
        <f>AVERAGE(DANE!CK408:CK579)</f>
        <v>0</v>
      </c>
      <c r="Z82" s="662">
        <f>AVERAGE(DANE!CL408:CL579)</f>
        <v>36.92307692307692</v>
      </c>
      <c r="AA82" s="662">
        <f>AVERAGE(DANE!CM408:CM579)</f>
        <v>208.46153846153845</v>
      </c>
    </row>
    <row r="83" spans="1:34">
      <c r="J83" t="s">
        <v>64</v>
      </c>
      <c r="K83" s="662">
        <f>MIN(DANE!AX408:AX579)</f>
        <v>64.900000000000006</v>
      </c>
      <c r="L83" s="662">
        <f>MIN(DANE!AY408:AY579)</f>
        <v>29.8</v>
      </c>
      <c r="M83" s="662">
        <f>MIN(DANE!AZ408:AZ579)</f>
        <v>0</v>
      </c>
      <c r="N83" s="662">
        <f>MIN(DANE!BA408:BA579)</f>
        <v>0</v>
      </c>
      <c r="O83" s="662">
        <f>MIN(DANE!BB408:BB579)</f>
        <v>45</v>
      </c>
      <c r="P83" s="656"/>
      <c r="V83" t="s">
        <v>64</v>
      </c>
      <c r="W83" s="662">
        <f>MIN(DANE!CI408:CI579)</f>
        <v>65.099999999999994</v>
      </c>
      <c r="X83" s="662">
        <f>MIN(DANE!CJ408:CJ579)</f>
        <v>30.2</v>
      </c>
      <c r="Y83" s="662">
        <f>MIN(DANE!CK408:CK579)</f>
        <v>0</v>
      </c>
      <c r="Z83" s="662">
        <f>MIN(DANE!CL408:CL579)</f>
        <v>12</v>
      </c>
      <c r="AA83" s="662">
        <f>MIN(DANE!CM408:CM579)</f>
        <v>105</v>
      </c>
    </row>
    <row r="84" spans="1:34">
      <c r="J84" t="s">
        <v>66</v>
      </c>
      <c r="K84" s="662">
        <f>MAX(DANE!AX408:AX579)</f>
        <v>70.099999999999994</v>
      </c>
      <c r="L84" s="662">
        <f>MAX(DANE!AY408:AY579)</f>
        <v>34</v>
      </c>
      <c r="M84" s="662">
        <f>MAX(DANE!AZ408:AZ579)</f>
        <v>0</v>
      </c>
      <c r="N84" s="662">
        <f>MAX(DANE!BA408:BA579)</f>
        <v>72</v>
      </c>
      <c r="O84" s="662">
        <f>MAX(DANE!BB408:BB579)</f>
        <v>170</v>
      </c>
      <c r="P84" s="656"/>
      <c r="V84" t="s">
        <v>66</v>
      </c>
      <c r="W84" s="662">
        <f>MAX(DANE!CI408:CI579)</f>
        <v>69.7</v>
      </c>
      <c r="X84" s="662">
        <f>MAX(DANE!CJ408:CJ579)</f>
        <v>33.799999999999997</v>
      </c>
      <c r="Y84" s="662">
        <f>MAX(DANE!CK408:CK579)</f>
        <v>0</v>
      </c>
      <c r="Z84" s="662">
        <f>MAX(DANE!CL408:CL579)</f>
        <v>96</v>
      </c>
      <c r="AA84" s="662">
        <f>MAX(DANE!CM408:CM579)</f>
        <v>330</v>
      </c>
    </row>
    <row r="86" spans="1:34">
      <c r="A86" t="s">
        <v>192</v>
      </c>
      <c r="C86" t="s">
        <v>190</v>
      </c>
    </row>
    <row r="87" spans="1:34">
      <c r="A87" s="1183" t="s">
        <v>130</v>
      </c>
      <c r="B87" s="1226">
        <f>AVERAGE(B44:B51)</f>
        <v>3.1725000000000003</v>
      </c>
      <c r="C87" s="1226">
        <f t="shared" ref="C87:AH87" si="6">AVERAGE(C44:C51)</f>
        <v>77.147499999999994</v>
      </c>
      <c r="D87" s="1227">
        <f t="shared" si="6"/>
        <v>34343.333333333336</v>
      </c>
      <c r="E87" s="1226">
        <f t="shared" si="6"/>
        <v>5.68</v>
      </c>
      <c r="F87" s="1227">
        <f t="shared" si="6"/>
        <v>46.866666666666667</v>
      </c>
      <c r="G87" s="1227">
        <f t="shared" si="6"/>
        <v>7884.833333333333</v>
      </c>
      <c r="H87" s="1227">
        <f t="shared" si="6"/>
        <v>3972.3333333333335</v>
      </c>
      <c r="I87" s="1227">
        <f t="shared" si="6"/>
        <v>46.866666666666667</v>
      </c>
      <c r="J87" s="1227">
        <f t="shared" si="6"/>
        <v>204</v>
      </c>
      <c r="K87" s="1226">
        <f t="shared" si="6"/>
        <v>1.9137499999999998</v>
      </c>
      <c r="L87" s="1226">
        <f t="shared" si="6"/>
        <v>66.430000000000007</v>
      </c>
      <c r="M87" s="1227">
        <f t="shared" si="6"/>
        <v>20833.333333333332</v>
      </c>
      <c r="N87" s="1227">
        <f t="shared" si="6"/>
        <v>32.333333333333336</v>
      </c>
      <c r="O87" s="1227">
        <f t="shared" si="6"/>
        <v>1653.1666666666667</v>
      </c>
      <c r="P87" s="1227">
        <f t="shared" si="6"/>
        <v>411</v>
      </c>
      <c r="Q87" s="1227">
        <f t="shared" si="6"/>
        <v>59.466666666666669</v>
      </c>
      <c r="R87" s="1227">
        <f t="shared" si="6"/>
        <v>167.33333333333334</v>
      </c>
      <c r="S87" s="1226">
        <f t="shared" si="6"/>
        <v>35.207486114351227</v>
      </c>
      <c r="T87" s="1226">
        <f t="shared" si="6"/>
        <v>31.738842968857352</v>
      </c>
      <c r="U87" s="1226">
        <f t="shared" si="6"/>
        <v>44.143895792744523</v>
      </c>
      <c r="V87" s="1226">
        <f t="shared" si="6"/>
        <v>41.164015308808231</v>
      </c>
      <c r="W87" s="1226">
        <f t="shared" si="6"/>
        <v>1.9925000000000002</v>
      </c>
      <c r="X87" s="1226">
        <f t="shared" si="6"/>
        <v>64.101249999999993</v>
      </c>
      <c r="Y87" s="1227">
        <f t="shared" si="6"/>
        <v>19916.666666666668</v>
      </c>
      <c r="Z87" s="1227">
        <f t="shared" si="6"/>
        <v>33.166666666666664</v>
      </c>
      <c r="AA87" s="1227">
        <f t="shared" si="6"/>
        <v>2819.3333333333335</v>
      </c>
      <c r="AB87" s="1227">
        <f t="shared" si="6"/>
        <v>716.33333333333337</v>
      </c>
      <c r="AC87" s="1227">
        <f t="shared" si="6"/>
        <v>76.63333333333334</v>
      </c>
      <c r="AD87" s="1227">
        <f t="shared" si="6"/>
        <v>135.66666666666666</v>
      </c>
      <c r="AE87" s="1226">
        <f t="shared" si="6"/>
        <v>32.549413731363757</v>
      </c>
      <c r="AF87" s="1226">
        <f t="shared" si="6"/>
        <v>36.119046703573702</v>
      </c>
      <c r="AG87" s="1226">
        <f t="shared" si="6"/>
        <v>43.893324710709457</v>
      </c>
      <c r="AH87" s="1226">
        <f t="shared" si="6"/>
        <v>46.849881902912742</v>
      </c>
    </row>
    <row r="88" spans="1:34">
      <c r="A88" s="1183" t="s">
        <v>64</v>
      </c>
      <c r="B88" s="1226">
        <f>MIN(B44:B51)</f>
        <v>2.7</v>
      </c>
      <c r="C88" s="1226">
        <f t="shared" ref="C88:AH88" si="7">MIN(C44:C51)</f>
        <v>74.8</v>
      </c>
      <c r="D88" s="1227">
        <f t="shared" si="7"/>
        <v>4760</v>
      </c>
      <c r="E88" s="1226">
        <f t="shared" si="7"/>
        <v>5.68</v>
      </c>
      <c r="F88" s="1227">
        <f t="shared" si="7"/>
        <v>45.5</v>
      </c>
      <c r="G88" s="1227">
        <f t="shared" si="7"/>
        <v>5471</v>
      </c>
      <c r="H88" s="1227">
        <f t="shared" si="7"/>
        <v>3035</v>
      </c>
      <c r="I88" s="1227">
        <f t="shared" si="7"/>
        <v>32</v>
      </c>
      <c r="J88" s="1227">
        <f t="shared" si="7"/>
        <v>153</v>
      </c>
      <c r="K88" s="1226">
        <f t="shared" si="7"/>
        <v>1.7</v>
      </c>
      <c r="L88" s="1226">
        <f t="shared" si="7"/>
        <v>64.599999999999994</v>
      </c>
      <c r="M88" s="1227">
        <f t="shared" si="7"/>
        <v>18000</v>
      </c>
      <c r="N88" s="1227">
        <f t="shared" si="7"/>
        <v>28.4</v>
      </c>
      <c r="O88" s="1227">
        <f t="shared" si="7"/>
        <v>890</v>
      </c>
      <c r="P88" s="1227">
        <f t="shared" si="7"/>
        <v>196</v>
      </c>
      <c r="Q88" s="1227">
        <f t="shared" si="7"/>
        <v>38.700000000000003</v>
      </c>
      <c r="R88" s="1227">
        <f t="shared" si="7"/>
        <v>133</v>
      </c>
      <c r="S88" s="1226">
        <f t="shared" si="7"/>
        <v>30.404929824385384</v>
      </c>
      <c r="T88" s="1226">
        <f t="shared" si="7"/>
        <v>27.871600306931555</v>
      </c>
      <c r="U88" s="1226">
        <f t="shared" si="7"/>
        <v>38.376547967735284</v>
      </c>
      <c r="V88" s="1226">
        <f t="shared" si="7"/>
        <v>36.133393249925454</v>
      </c>
      <c r="W88" s="1226">
        <f t="shared" si="7"/>
        <v>1.8</v>
      </c>
      <c r="X88" s="1226">
        <f t="shared" si="7"/>
        <v>62.22</v>
      </c>
      <c r="Y88" s="1227">
        <f t="shared" si="7"/>
        <v>18700</v>
      </c>
      <c r="Z88" s="1227">
        <f t="shared" si="7"/>
        <v>31.5</v>
      </c>
      <c r="AA88" s="1227">
        <f t="shared" si="7"/>
        <v>2450</v>
      </c>
      <c r="AB88" s="1227">
        <f t="shared" si="7"/>
        <v>697</v>
      </c>
      <c r="AC88" s="1227">
        <f t="shared" si="7"/>
        <v>71</v>
      </c>
      <c r="AD88" s="1227">
        <f t="shared" si="7"/>
        <v>115</v>
      </c>
      <c r="AE88" s="1226">
        <f t="shared" si="7"/>
        <v>27.09087886364183</v>
      </c>
      <c r="AF88" s="1226">
        <f t="shared" si="7"/>
        <v>31.3372291210129</v>
      </c>
      <c r="AG88" s="1226">
        <f t="shared" si="7"/>
        <v>36.954435256121279</v>
      </c>
      <c r="AH88" s="1226">
        <f t="shared" si="7"/>
        <v>40.62631534332715</v>
      </c>
    </row>
    <row r="89" spans="1:34">
      <c r="A89" s="1183" t="s">
        <v>66</v>
      </c>
      <c r="B89" s="1226">
        <f>MAX(B44:B51)</f>
        <v>3.9</v>
      </c>
      <c r="C89" s="1226">
        <f t="shared" ref="C89:AH89" si="8">MAX(C44:C51)</f>
        <v>79.02</v>
      </c>
      <c r="D89" s="1227">
        <f t="shared" si="8"/>
        <v>51200</v>
      </c>
      <c r="E89" s="1226">
        <f t="shared" si="8"/>
        <v>5.68</v>
      </c>
      <c r="F89" s="1227">
        <f t="shared" si="8"/>
        <v>48.1</v>
      </c>
      <c r="G89" s="1227">
        <f t="shared" si="8"/>
        <v>9492</v>
      </c>
      <c r="H89" s="1227">
        <f t="shared" si="8"/>
        <v>4958</v>
      </c>
      <c r="I89" s="1227">
        <f t="shared" si="8"/>
        <v>60</v>
      </c>
      <c r="J89" s="1227">
        <f t="shared" si="8"/>
        <v>259</v>
      </c>
      <c r="K89" s="1226">
        <f t="shared" si="8"/>
        <v>2.1</v>
      </c>
      <c r="L89" s="1226">
        <f t="shared" si="8"/>
        <v>68.3</v>
      </c>
      <c r="M89" s="1227">
        <f t="shared" si="8"/>
        <v>23500</v>
      </c>
      <c r="N89" s="1227">
        <f t="shared" si="8"/>
        <v>36.6</v>
      </c>
      <c r="O89" s="1227">
        <f t="shared" si="8"/>
        <v>2426</v>
      </c>
      <c r="P89" s="1227">
        <f t="shared" si="8"/>
        <v>740</v>
      </c>
      <c r="Q89" s="1227">
        <f t="shared" si="8"/>
        <v>78.5</v>
      </c>
      <c r="R89" s="1227">
        <f t="shared" si="8"/>
        <v>198</v>
      </c>
      <c r="S89" s="1226">
        <f t="shared" si="8"/>
        <v>39.691644707877359</v>
      </c>
      <c r="T89" s="1226">
        <f t="shared" si="8"/>
        <v>34.362887379836572</v>
      </c>
      <c r="U89" s="1226">
        <f t="shared" si="8"/>
        <v>48.998457347615421</v>
      </c>
      <c r="V89" s="1226">
        <f t="shared" si="8"/>
        <v>44.764056733102812</v>
      </c>
      <c r="W89" s="1226">
        <f t="shared" si="8"/>
        <v>2.2000000000000002</v>
      </c>
      <c r="X89" s="1226">
        <f t="shared" si="8"/>
        <v>66.7</v>
      </c>
      <c r="Y89" s="1227">
        <f t="shared" si="8"/>
        <v>21600</v>
      </c>
      <c r="Z89" s="1227">
        <f t="shared" si="8"/>
        <v>35.4</v>
      </c>
      <c r="AA89" s="1227">
        <f t="shared" si="8"/>
        <v>3294</v>
      </c>
      <c r="AB89" s="1227">
        <f t="shared" si="8"/>
        <v>733</v>
      </c>
      <c r="AC89" s="1227">
        <f t="shared" si="8"/>
        <v>85.6</v>
      </c>
      <c r="AD89" s="1227">
        <f t="shared" si="8"/>
        <v>163</v>
      </c>
      <c r="AE89" s="1226">
        <f t="shared" si="8"/>
        <v>35.834715008962533</v>
      </c>
      <c r="AF89" s="1226">
        <f t="shared" si="8"/>
        <v>39.142036946332922</v>
      </c>
      <c r="AG89" s="1226">
        <f t="shared" si="8"/>
        <v>48.12677962631183</v>
      </c>
      <c r="AH89" s="1226">
        <f t="shared" si="8"/>
        <v>50.800521973562553</v>
      </c>
    </row>
    <row r="91" spans="1:34" ht="26.25" thickBot="1">
      <c r="K91" s="49" t="s">
        <v>57</v>
      </c>
      <c r="L91" s="49" t="s">
        <v>52</v>
      </c>
      <c r="M91" s="54" t="s">
        <v>58</v>
      </c>
      <c r="N91" s="54" t="s">
        <v>59</v>
      </c>
      <c r="O91" s="54" t="s">
        <v>60</v>
      </c>
      <c r="P91" s="54" t="s">
        <v>100</v>
      </c>
      <c r="W91" s="658" t="s">
        <v>57</v>
      </c>
      <c r="X91" s="658" t="s">
        <v>52</v>
      </c>
      <c r="Y91" s="659" t="s">
        <v>58</v>
      </c>
      <c r="Z91" s="659" t="s">
        <v>59</v>
      </c>
      <c r="AA91" s="659" t="s">
        <v>60</v>
      </c>
      <c r="AB91" s="659" t="s">
        <v>100</v>
      </c>
      <c r="AC91" s="661" t="s">
        <v>81</v>
      </c>
    </row>
    <row r="92" spans="1:34">
      <c r="J92" s="337" t="s">
        <v>130</v>
      </c>
      <c r="K92" s="657">
        <f>AVERAGE(DANE!AR580:AR627)</f>
        <v>1077.1288574218752</v>
      </c>
      <c r="L92" s="657">
        <f>AVERAGE(DANE!AS580:AS627)</f>
        <v>44.880369059244792</v>
      </c>
      <c r="M92" s="657">
        <f>AVERAGE(DANE!AT580:AT627)</f>
        <v>1223.5637781908915</v>
      </c>
      <c r="N92" s="657">
        <f>AVERAGE(DANE!AU580:AU627)</f>
        <v>1844.132116426747</v>
      </c>
      <c r="O92" s="657">
        <f>AVERAGE(DANE!AV580:AV627)</f>
        <v>940.76254741793127</v>
      </c>
      <c r="P92" s="656">
        <f>AVERAGE(DANE!AW580:AW627)</f>
        <v>0.76229926215277821</v>
      </c>
      <c r="Q92" s="656">
        <f>AVERAGE(DANE!AO580:AO627)</f>
        <v>57.205340673778935</v>
      </c>
      <c r="V92" s="337" t="s">
        <v>130</v>
      </c>
      <c r="W92" s="657">
        <f>AVERAGE(DANE!CC580:CC627)</f>
        <v>578.46476236979163</v>
      </c>
      <c r="X92" s="657">
        <f>AVERAGE(DANE!CD580:CD627)</f>
        <v>24.10269843207465</v>
      </c>
      <c r="Y92" s="657">
        <f>AVERAGE(DANE!CE580:CE627)</f>
        <v>1017.6404130490862</v>
      </c>
      <c r="Z92" s="657">
        <f>AVERAGE(DANE!CF580:CF627)</f>
        <v>1572.4614558020562</v>
      </c>
      <c r="AA92" s="657">
        <f>AVERAGE(DANE!CG580:CG627)</f>
        <v>783.36019644714293</v>
      </c>
      <c r="AB92" s="656">
        <f>AVERAGE(DANE!CH580:CH627)</f>
        <v>0.77542193347157096</v>
      </c>
      <c r="AC92" s="656">
        <f>AVERAGE(DANE!BZ580:BZ627)</f>
        <v>28.171755953386388</v>
      </c>
    </row>
    <row r="93" spans="1:34">
      <c r="J93" t="s">
        <v>64</v>
      </c>
      <c r="K93" s="657">
        <f>MIN(DANE!AR580:AR627)</f>
        <v>362.08124999998836</v>
      </c>
      <c r="L93" s="657">
        <f>MIN(DANE!AS580:AS627)</f>
        <v>15.086718749999514</v>
      </c>
      <c r="M93" s="657">
        <f>MIN(DANE!AT580:AT627)</f>
        <v>468.47010524447302</v>
      </c>
      <c r="N93" s="657">
        <f>MIN(DANE!AU580:AU627)</f>
        <v>1494.1220991720627</v>
      </c>
      <c r="O93" s="657">
        <f>MIN(DANE!AV580:AV627)</f>
        <v>363.13599482921484</v>
      </c>
      <c r="P93" s="656">
        <f>MIN(DANE!AW580:AW627)</f>
        <v>0.25624999999999176</v>
      </c>
      <c r="V93" t="s">
        <v>64</v>
      </c>
      <c r="W93" s="657">
        <f>MIN(DANE!CC580:CC627)</f>
        <v>122.65625</v>
      </c>
      <c r="X93" s="657">
        <f>MIN(DANE!CD580:CD627)</f>
        <v>5.110677083333333</v>
      </c>
      <c r="Y93" s="657">
        <f>MIN(DANE!CE580:CE627)</f>
        <v>195.17848526788052</v>
      </c>
      <c r="Z93" s="657">
        <f>MIN(DANE!CF580:CF627)</f>
        <v>1133.4633880417418</v>
      </c>
      <c r="AA93" s="657">
        <f>MIN(DANE!CG580:CG627)</f>
        <v>150.55150487174126</v>
      </c>
      <c r="AB93" s="656">
        <f>MIN(DANE!CH580:CH627)</f>
        <v>0.1644185656836461</v>
      </c>
    </row>
    <row r="94" spans="1:34">
      <c r="J94" t="s">
        <v>66</v>
      </c>
      <c r="K94" s="657">
        <f>MAX(DANE!AR580:AR627)</f>
        <v>1689.7125000000087</v>
      </c>
      <c r="L94" s="657">
        <f>MAX(DANE!AS580:AS627)</f>
        <v>70.404687500000364</v>
      </c>
      <c r="M94" s="657">
        <f>MAX(DANE!AT580:AT627)</f>
        <v>6001.7384219873265</v>
      </c>
      <c r="N94" s="657">
        <f>MAX(DANE!AU580:AU627)</f>
        <v>2080.5517714320708</v>
      </c>
      <c r="O94" s="657">
        <f>MAX(DANE!AV580:AV627)</f>
        <v>4629.4587748060439</v>
      </c>
      <c r="P94" s="656">
        <f>MAX(DANE!AW580:AW627)</f>
        <v>1.1958333333333395</v>
      </c>
      <c r="V94" t="s">
        <v>66</v>
      </c>
      <c r="W94" s="657">
        <f>MAX(DANE!CC580:CC627)</f>
        <v>981.25</v>
      </c>
      <c r="X94" s="657">
        <f>MAX(DANE!CD580:CD627)</f>
        <v>40.885416666666664</v>
      </c>
      <c r="Y94" s="657">
        <f>MAX(DANE!CE580:CE627)</f>
        <v>9222.183428907354</v>
      </c>
      <c r="Z94" s="657">
        <f>MAX(DANE!CF580:CF627)</f>
        <v>1941.6947604351756</v>
      </c>
      <c r="AA94" s="657">
        <f>MAX(DANE!CG580:CG627)</f>
        <v>7113.5586051897744</v>
      </c>
      <c r="AB94" s="656">
        <f>MAX(DANE!CH580:CH627)</f>
        <v>1.3153485254691688</v>
      </c>
    </row>
    <row r="96" spans="1:34">
      <c r="K96" s="33" t="s">
        <v>41</v>
      </c>
      <c r="L96" s="33" t="s">
        <v>42</v>
      </c>
      <c r="M96" s="33" t="s">
        <v>43</v>
      </c>
      <c r="N96" s="33" t="s">
        <v>44</v>
      </c>
      <c r="O96" s="33" t="s">
        <v>45</v>
      </c>
      <c r="W96" s="38" t="s">
        <v>41</v>
      </c>
      <c r="X96" s="38" t="s">
        <v>42</v>
      </c>
      <c r="Y96" s="38" t="s">
        <v>43</v>
      </c>
      <c r="Z96" s="38" t="s">
        <v>44</v>
      </c>
      <c r="AA96" s="38" t="s">
        <v>45</v>
      </c>
    </row>
    <row r="97" spans="1:34" ht="15" thickBot="1">
      <c r="K97" s="49" t="s">
        <v>47</v>
      </c>
      <c r="L97" s="49" t="s">
        <v>47</v>
      </c>
      <c r="M97" s="49" t="s">
        <v>47</v>
      </c>
      <c r="N97" s="49" t="s">
        <v>61</v>
      </c>
      <c r="O97" s="49" t="s">
        <v>61</v>
      </c>
      <c r="W97" s="57" t="s">
        <v>47</v>
      </c>
      <c r="X97" s="57" t="s">
        <v>47</v>
      </c>
      <c r="Y97" s="57" t="s">
        <v>47</v>
      </c>
      <c r="Z97" s="57" t="s">
        <v>61</v>
      </c>
      <c r="AA97" s="57" t="s">
        <v>61</v>
      </c>
    </row>
    <row r="98" spans="1:34">
      <c r="J98" s="337" t="s">
        <v>130</v>
      </c>
      <c r="K98" s="662">
        <f>AVERAGE(DANE!AX580:AX627)</f>
        <v>67.900000000000006</v>
      </c>
      <c r="L98" s="662">
        <f>AVERAGE(DANE!AY580:AY627)</f>
        <v>30.9</v>
      </c>
      <c r="M98" s="662">
        <f>AVERAGE(DANE!AZ580:AZ627)</f>
        <v>0</v>
      </c>
      <c r="N98" s="662">
        <f>AVERAGE(DANE!BA580:BA627)</f>
        <v>34.4</v>
      </c>
      <c r="O98" s="662">
        <f>AVERAGE(DANE!BB580:BB627)</f>
        <v>77</v>
      </c>
      <c r="P98" s="656"/>
      <c r="V98" s="337" t="s">
        <v>130</v>
      </c>
      <c r="W98" s="662">
        <f>AVERAGE(DANE!CI580:CI627)</f>
        <v>68.08</v>
      </c>
      <c r="X98" s="662">
        <f>AVERAGE(DANE!CJ580:CJ627)</f>
        <v>31.820000000000004</v>
      </c>
      <c r="Y98" s="662">
        <f>AVERAGE(DANE!CK580:CK627)</f>
        <v>0</v>
      </c>
      <c r="Z98" s="662">
        <f>AVERAGE(DANE!CL580:CL627)</f>
        <v>45.8</v>
      </c>
      <c r="AA98" s="662">
        <f>AVERAGE(DANE!CM580:CM627)</f>
        <v>143</v>
      </c>
    </row>
    <row r="99" spans="1:34">
      <c r="J99" t="s">
        <v>64</v>
      </c>
      <c r="K99" s="662">
        <f>MIN(DANE!AX580:AX627)</f>
        <v>63.9</v>
      </c>
      <c r="L99" s="662">
        <f>MIN(DANE!AY580:AY627)</f>
        <v>30.1</v>
      </c>
      <c r="M99" s="662">
        <f>MIN(DANE!AZ580:AZ627)</f>
        <v>0</v>
      </c>
      <c r="N99" s="662">
        <f>MIN(DANE!BA580:BA627)</f>
        <v>7</v>
      </c>
      <c r="O99" s="662">
        <f>MIN(DANE!BB580:BB627)</f>
        <v>10</v>
      </c>
      <c r="P99" s="656"/>
      <c r="V99" t="s">
        <v>64</v>
      </c>
      <c r="W99" s="662">
        <f>MIN(DANE!CI580:CI627)</f>
        <v>65.7</v>
      </c>
      <c r="X99" s="662">
        <f>MIN(DANE!CJ580:CJ627)</f>
        <v>29.1</v>
      </c>
      <c r="Y99" s="662">
        <f>MIN(DANE!CK580:CK627)</f>
        <v>0</v>
      </c>
      <c r="Z99" s="662">
        <f>MIN(DANE!CL580:CL627)</f>
        <v>26</v>
      </c>
      <c r="AA99" s="662">
        <f>MIN(DANE!CM580:CM627)</f>
        <v>85</v>
      </c>
    </row>
    <row r="100" spans="1:34">
      <c r="J100" t="s">
        <v>66</v>
      </c>
      <c r="K100" s="662">
        <f>MAX(DANE!AX580:AX627)</f>
        <v>69.8</v>
      </c>
      <c r="L100" s="662">
        <f>MAX(DANE!AY580:AY627)</f>
        <v>32.1</v>
      </c>
      <c r="M100" s="662">
        <f>MAX(DANE!AZ580:AZ627)</f>
        <v>0</v>
      </c>
      <c r="N100" s="662">
        <f>MAX(DANE!BA580:BA627)</f>
        <v>58</v>
      </c>
      <c r="O100" s="662">
        <f>MAX(DANE!BB580:BB627)</f>
        <v>115</v>
      </c>
      <c r="P100" s="656"/>
      <c r="V100" t="s">
        <v>66</v>
      </c>
      <c r="W100" s="662">
        <f>MAX(DANE!CI580:CI627)</f>
        <v>70.8</v>
      </c>
      <c r="X100" s="662">
        <f>MAX(DANE!CJ580:CJ627)</f>
        <v>34.200000000000003</v>
      </c>
      <c r="Y100" s="662">
        <f>MAX(DANE!CK580:CK627)</f>
        <v>0</v>
      </c>
      <c r="Z100" s="662">
        <f>MAX(DANE!CL580:CL627)</f>
        <v>88</v>
      </c>
      <c r="AA100" s="662">
        <f>MAX(DANE!CM580:CM627)</f>
        <v>235</v>
      </c>
    </row>
    <row r="102" spans="1:34">
      <c r="A102" t="s">
        <v>194</v>
      </c>
      <c r="C102" t="s">
        <v>191</v>
      </c>
    </row>
    <row r="103" spans="1:34">
      <c r="A103" s="533" t="s">
        <v>130</v>
      </c>
      <c r="B103" s="1222">
        <f>AVERAGE(B52:B57)</f>
        <v>2.8266666666666667</v>
      </c>
      <c r="C103" s="1222">
        <f t="shared" ref="C103:AH103" si="9">AVERAGE(C52:C57)</f>
        <v>78.22</v>
      </c>
      <c r="D103" s="1222">
        <f t="shared" si="9"/>
        <v>36800</v>
      </c>
      <c r="E103" s="1222">
        <f t="shared" si="9"/>
        <v>6.9833333333333334</v>
      </c>
      <c r="F103" s="1222">
        <f t="shared" si="9"/>
        <v>45.3</v>
      </c>
      <c r="G103" s="1222">
        <f t="shared" si="9"/>
        <v>9526</v>
      </c>
      <c r="H103" s="1222">
        <f t="shared" si="9"/>
        <v>3684</v>
      </c>
      <c r="I103" s="1222">
        <f t="shared" si="9"/>
        <v>70.599999999999994</v>
      </c>
      <c r="J103" s="1222">
        <f t="shared" si="9"/>
        <v>144</v>
      </c>
      <c r="K103" s="1222">
        <f t="shared" si="9"/>
        <v>1.9333333333333333</v>
      </c>
      <c r="L103" s="1222">
        <f t="shared" si="9"/>
        <v>68.648333333333326</v>
      </c>
      <c r="M103" s="1222">
        <f t="shared" si="9"/>
        <v>21800</v>
      </c>
      <c r="N103" s="1222">
        <f t="shared" si="9"/>
        <v>31.8</v>
      </c>
      <c r="O103" s="1222">
        <f t="shared" si="9"/>
        <v>1422</v>
      </c>
      <c r="P103" s="1222">
        <f t="shared" si="9"/>
        <v>289</v>
      </c>
      <c r="Q103" s="1222">
        <f t="shared" si="9"/>
        <v>78.7</v>
      </c>
      <c r="R103" s="1222">
        <f t="shared" si="9"/>
        <v>136</v>
      </c>
      <c r="S103" s="1222">
        <f t="shared" si="9"/>
        <v>37.349266173033122</v>
      </c>
      <c r="T103" s="1222">
        <f t="shared" si="9"/>
        <v>26.516431681624869</v>
      </c>
      <c r="U103" s="1222">
        <f t="shared" si="9"/>
        <v>44.155278445842875</v>
      </c>
      <c r="V103" s="1222">
        <f t="shared" si="9"/>
        <v>34.371623393583526</v>
      </c>
      <c r="W103" s="1222">
        <f t="shared" si="9"/>
        <v>2.0366666666666666</v>
      </c>
      <c r="X103" s="1222">
        <f t="shared" si="9"/>
        <v>65.963333333333324</v>
      </c>
      <c r="Y103" s="1223">
        <f t="shared" si="9"/>
        <v>21000</v>
      </c>
      <c r="Z103" s="1223">
        <f t="shared" si="9"/>
        <v>36.9</v>
      </c>
      <c r="AA103" s="1223">
        <f t="shared" si="9"/>
        <v>2741</v>
      </c>
      <c r="AB103" s="1223">
        <f t="shared" si="9"/>
        <v>540</v>
      </c>
      <c r="AC103" s="1223">
        <f t="shared" si="9"/>
        <v>89.5</v>
      </c>
      <c r="AD103" s="1223">
        <f t="shared" si="9"/>
        <v>122</v>
      </c>
      <c r="AE103" s="1222">
        <f t="shared" si="9"/>
        <v>34.101378745039071</v>
      </c>
      <c r="AF103" s="1222">
        <f t="shared" si="9"/>
        <v>32.58963086176977</v>
      </c>
      <c r="AG103" s="1222">
        <f t="shared" si="9"/>
        <v>43.757146284384525</v>
      </c>
      <c r="AH103" s="1222">
        <f t="shared" si="9"/>
        <v>42.275756354396592</v>
      </c>
    </row>
    <row r="104" spans="1:34">
      <c r="A104" s="533" t="s">
        <v>64</v>
      </c>
      <c r="B104" s="1222">
        <f>MIN(B52:B57)</f>
        <v>2.62</v>
      </c>
      <c r="C104" s="1222">
        <f t="shared" ref="C104:AH104" si="10">MIN(C52:C57)</f>
        <v>72.38</v>
      </c>
      <c r="D104" s="1222">
        <f t="shared" si="10"/>
        <v>36800</v>
      </c>
      <c r="E104" s="1222">
        <f t="shared" si="10"/>
        <v>6.74</v>
      </c>
      <c r="F104" s="1222">
        <f t="shared" si="10"/>
        <v>45.3</v>
      </c>
      <c r="G104" s="1222">
        <f t="shared" si="10"/>
        <v>9526</v>
      </c>
      <c r="H104" s="1222">
        <f t="shared" si="10"/>
        <v>3684</v>
      </c>
      <c r="I104" s="1222">
        <f t="shared" si="10"/>
        <v>70.599999999999994</v>
      </c>
      <c r="J104" s="1222">
        <f t="shared" si="10"/>
        <v>144</v>
      </c>
      <c r="K104" s="1222">
        <f t="shared" si="10"/>
        <v>1.69</v>
      </c>
      <c r="L104" s="1222">
        <f t="shared" si="10"/>
        <v>66.03</v>
      </c>
      <c r="M104" s="1222">
        <f t="shared" si="10"/>
        <v>21800</v>
      </c>
      <c r="N104" s="1222">
        <f t="shared" si="10"/>
        <v>31.8</v>
      </c>
      <c r="O104" s="1222">
        <f t="shared" si="10"/>
        <v>1422</v>
      </c>
      <c r="P104" s="1222">
        <f t="shared" si="10"/>
        <v>289</v>
      </c>
      <c r="Q104" s="1222">
        <f t="shared" si="10"/>
        <v>78.7</v>
      </c>
      <c r="R104" s="1222">
        <f t="shared" si="10"/>
        <v>136</v>
      </c>
      <c r="S104" s="1222">
        <f t="shared" si="10"/>
        <v>31.102362204724418</v>
      </c>
      <c r="T104" s="1222">
        <f t="shared" si="10"/>
        <v>12.021276595744634</v>
      </c>
      <c r="U104" s="1222">
        <f t="shared" si="10"/>
        <v>36.503623062911714</v>
      </c>
      <c r="V104" s="1222">
        <f t="shared" si="10"/>
        <v>15.643741340566129</v>
      </c>
      <c r="W104" s="1222">
        <f t="shared" si="10"/>
        <v>1.71</v>
      </c>
      <c r="X104" s="1222">
        <f t="shared" si="10"/>
        <v>63.64</v>
      </c>
      <c r="Y104" s="1223">
        <f t="shared" si="10"/>
        <v>21000</v>
      </c>
      <c r="Z104" s="1223">
        <f t="shared" si="10"/>
        <v>36.9</v>
      </c>
      <c r="AA104" s="1223">
        <f t="shared" si="10"/>
        <v>2741</v>
      </c>
      <c r="AB104" s="1223">
        <f t="shared" si="10"/>
        <v>540</v>
      </c>
      <c r="AC104" s="1223">
        <f t="shared" si="10"/>
        <v>89.5</v>
      </c>
      <c r="AD104" s="1223">
        <f t="shared" si="10"/>
        <v>122</v>
      </c>
      <c r="AE104" s="1222">
        <f t="shared" si="10"/>
        <v>27.821522309711291</v>
      </c>
      <c r="AF104" s="1222">
        <f t="shared" si="10"/>
        <v>27.556402923419078</v>
      </c>
      <c r="AG104" s="1222">
        <f t="shared" si="10"/>
        <v>39.060619189110426</v>
      </c>
      <c r="AH104" s="1222">
        <f t="shared" si="10"/>
        <v>35.693897727285666</v>
      </c>
    </row>
    <row r="105" spans="1:34">
      <c r="A105" s="533" t="s">
        <v>66</v>
      </c>
      <c r="B105" s="1222">
        <f>MAX(B52:B57)</f>
        <v>3.24</v>
      </c>
      <c r="C105" s="1222">
        <f t="shared" ref="C105:AH105" si="11">MAX(C52:C57)</f>
        <v>86.04</v>
      </c>
      <c r="D105" s="1222">
        <f t="shared" si="11"/>
        <v>36800</v>
      </c>
      <c r="E105" s="1222">
        <f t="shared" si="11"/>
        <v>7.3</v>
      </c>
      <c r="F105" s="1222">
        <f t="shared" si="11"/>
        <v>45.3</v>
      </c>
      <c r="G105" s="1222">
        <f t="shared" si="11"/>
        <v>9526</v>
      </c>
      <c r="H105" s="1222">
        <f t="shared" si="11"/>
        <v>3684</v>
      </c>
      <c r="I105" s="1222">
        <f t="shared" si="11"/>
        <v>70.599999999999994</v>
      </c>
      <c r="J105" s="1222">
        <f t="shared" si="11"/>
        <v>144</v>
      </c>
      <c r="K105" s="1222">
        <f t="shared" si="11"/>
        <v>2.1</v>
      </c>
      <c r="L105" s="1222">
        <f t="shared" si="11"/>
        <v>73.680000000000007</v>
      </c>
      <c r="M105" s="1222">
        <f t="shared" si="11"/>
        <v>21800</v>
      </c>
      <c r="N105" s="1222">
        <f t="shared" si="11"/>
        <v>31.8</v>
      </c>
      <c r="O105" s="1222">
        <f t="shared" si="11"/>
        <v>1422</v>
      </c>
      <c r="P105" s="1222">
        <f t="shared" si="11"/>
        <v>289</v>
      </c>
      <c r="Q105" s="1222">
        <f t="shared" si="11"/>
        <v>78.7</v>
      </c>
      <c r="R105" s="1222">
        <f t="shared" si="11"/>
        <v>136</v>
      </c>
      <c r="S105" s="1222">
        <f t="shared" si="11"/>
        <v>44.843342036553523</v>
      </c>
      <c r="T105" s="1222">
        <f t="shared" si="11"/>
        <v>31.410067706800081</v>
      </c>
      <c r="U105" s="1222">
        <f t="shared" si="11"/>
        <v>51.802386111259402</v>
      </c>
      <c r="V105" s="1222">
        <f t="shared" si="11"/>
        <v>40.951848379139619</v>
      </c>
      <c r="W105" s="1222">
        <f t="shared" si="11"/>
        <v>2.21</v>
      </c>
      <c r="X105" s="1222">
        <f t="shared" si="11"/>
        <v>68.760000000000005</v>
      </c>
      <c r="Y105" s="1223">
        <f t="shared" si="11"/>
        <v>21000</v>
      </c>
      <c r="Z105" s="1223">
        <f t="shared" si="11"/>
        <v>36.9</v>
      </c>
      <c r="AA105" s="1223">
        <f t="shared" si="11"/>
        <v>2741</v>
      </c>
      <c r="AB105" s="1223">
        <f t="shared" si="11"/>
        <v>540</v>
      </c>
      <c r="AC105" s="1223">
        <f t="shared" si="11"/>
        <v>89.5</v>
      </c>
      <c r="AD105" s="1223">
        <f t="shared" si="11"/>
        <v>122</v>
      </c>
      <c r="AE105" s="1222">
        <f t="shared" si="11"/>
        <v>42.885117493472585</v>
      </c>
      <c r="AF105" s="1222">
        <f t="shared" si="11"/>
        <v>35.918591859185888</v>
      </c>
      <c r="AG105" s="1222">
        <f t="shared" si="11"/>
        <v>49.563093070625378</v>
      </c>
      <c r="AH105" s="1222">
        <f t="shared" si="11"/>
        <v>46.829976348351884</v>
      </c>
    </row>
    <row r="107" spans="1:34" ht="26.25" thickBot="1">
      <c r="K107" s="49" t="s">
        <v>57</v>
      </c>
      <c r="L107" s="49" t="s">
        <v>52</v>
      </c>
      <c r="M107" s="54" t="s">
        <v>58</v>
      </c>
      <c r="N107" s="54" t="s">
        <v>59</v>
      </c>
      <c r="O107" s="54" t="s">
        <v>60</v>
      </c>
      <c r="P107" s="54" t="s">
        <v>100</v>
      </c>
      <c r="W107" s="658" t="s">
        <v>57</v>
      </c>
      <c r="X107" s="658" t="s">
        <v>52</v>
      </c>
      <c r="Y107" s="659" t="s">
        <v>58</v>
      </c>
      <c r="Z107" s="659" t="s">
        <v>59</v>
      </c>
      <c r="AA107" s="659" t="s">
        <v>60</v>
      </c>
      <c r="AB107" s="659" t="s">
        <v>100</v>
      </c>
      <c r="AC107" s="661" t="s">
        <v>81</v>
      </c>
    </row>
    <row r="108" spans="1:34">
      <c r="J108" s="337" t="s">
        <v>130</v>
      </c>
      <c r="K108" s="657">
        <f>AVERAGE(DANE!AR628:AR714)</f>
        <v>591.67683189655168</v>
      </c>
      <c r="L108" s="657">
        <f>AVERAGE(DANE!AS628:AS714)</f>
        <v>24.653201329022991</v>
      </c>
      <c r="M108" s="657">
        <f>AVERAGE(DANE!AT628:AT714)</f>
        <v>2460.3226385982121</v>
      </c>
      <c r="N108" s="657">
        <f>AVERAGE(DANE!AU628:AU714)</f>
        <v>1492.3578508916744</v>
      </c>
      <c r="O108" s="657">
        <f>AVERAGE(DANE!AV628:AV714)</f>
        <v>1896.0270294306431</v>
      </c>
      <c r="P108" s="656">
        <f>AVERAGE(DANE!AW628:AW714)</f>
        <v>0.41873802681992339</v>
      </c>
      <c r="Q108" s="656">
        <f>AVERAGE(DANE!AO628:AO714)</f>
        <v>88.82572422463079</v>
      </c>
      <c r="V108" s="337" t="s">
        <v>130</v>
      </c>
      <c r="W108" s="657">
        <f>AVERAGE(DANE!CC628:CC714)</f>
        <v>175.52532327586206</v>
      </c>
      <c r="X108" s="657">
        <f>AVERAGE(DANE!CD628:CD714)</f>
        <v>7.3135551364942533</v>
      </c>
      <c r="Y108" s="657">
        <f>AVERAGE(DANE!CE628:CE714)</f>
        <v>925.89514800397319</v>
      </c>
      <c r="Z108" s="657">
        <f>AVERAGE(DANE!CF628:CF714)</f>
        <v>1048.0425473441394</v>
      </c>
      <c r="AA108" s="657">
        <f>AVERAGE(DANE!CG628:CG714)</f>
        <v>713.87089217899722</v>
      </c>
      <c r="AB108" s="656">
        <f>AVERAGE(DANE!CH628:CH714)</f>
        <v>0.23528863709901093</v>
      </c>
      <c r="AC108" s="656">
        <f>AVERAGE(DANE!BZ628:BZ714)</f>
        <v>55.262907902282898</v>
      </c>
    </row>
    <row r="109" spans="1:34">
      <c r="J109" t="s">
        <v>64</v>
      </c>
      <c r="K109" s="657">
        <f>MIN(DANE!AR628:AR714)</f>
        <v>241.38749999998254</v>
      </c>
      <c r="L109" s="657">
        <f>MIN(DANE!AS628:AS714)</f>
        <v>10.057812499999272</v>
      </c>
      <c r="M109" s="657">
        <f>MIN(DANE!AT628:AT714)</f>
        <v>212.60575052101555</v>
      </c>
      <c r="N109" s="657">
        <f>MIN(DANE!AU628:AU714)</f>
        <v>957.29947221953762</v>
      </c>
      <c r="O109" s="657">
        <f>MIN(DANE!AV628:AV714)</f>
        <v>163.68091521111941</v>
      </c>
      <c r="P109" s="656">
        <f>MIN(DANE!AW628:AW714)</f>
        <v>0.17083333333332099</v>
      </c>
      <c r="V109" t="s">
        <v>64</v>
      </c>
      <c r="W109" s="657">
        <f>MIN(DANE!CC628:CC714)</f>
        <v>0</v>
      </c>
      <c r="X109" s="657">
        <f>MIN(DANE!CD628:CD714)</f>
        <v>0</v>
      </c>
      <c r="Y109" s="657">
        <f>MIN(DANE!CE628:CE714)</f>
        <v>0</v>
      </c>
      <c r="Z109" s="657">
        <f>MIN(DANE!CF628:CF714)</f>
        <v>0</v>
      </c>
      <c r="AA109" s="657">
        <f>MIN(DANE!CG628:CG714)</f>
        <v>0</v>
      </c>
      <c r="AB109" s="656">
        <f>MIN(DANE!CH628:CH714)</f>
        <v>0</v>
      </c>
    </row>
    <row r="110" spans="1:34">
      <c r="J110" t="s">
        <v>66</v>
      </c>
      <c r="K110" s="657">
        <f>MAX(DANE!AR628:AR714)</f>
        <v>1206.9375</v>
      </c>
      <c r="L110" s="657">
        <f>MAX(DANE!AS628:AS714)</f>
        <v>50.2890625</v>
      </c>
      <c r="M110" s="657">
        <f>MAX(DANE!AT628:AT714)</f>
        <v>16762.130716300722</v>
      </c>
      <c r="N110" s="657">
        <f>MAX(DANE!AU628:AU714)</f>
        <v>2619.0439166622637</v>
      </c>
      <c r="O110" s="657">
        <f>MAX(DANE!AV628:AV714)</f>
        <v>12960.144227229392</v>
      </c>
      <c r="P110" s="656">
        <f>MAX(DANE!AW628:AW714)</f>
        <v>0.85416666666666663</v>
      </c>
      <c r="V110" t="s">
        <v>66</v>
      </c>
      <c r="W110" s="657">
        <f>MAX(DANE!CC628:CC714)</f>
        <v>674.609375</v>
      </c>
      <c r="X110" s="657">
        <f>MAX(DANE!CD628:CD714)</f>
        <v>28.108723958333332</v>
      </c>
      <c r="Y110" s="657">
        <f>MAX(DANE!CE628:CE714)</f>
        <v>7884.6259466918682</v>
      </c>
      <c r="Z110" s="657">
        <f>MAX(DANE!CF628:CF714)</f>
        <v>2123.0643798620958</v>
      </c>
      <c r="AA110" s="657">
        <f>MAX(DANE!CG628:CG714)</f>
        <v>6096.2350894632191</v>
      </c>
      <c r="AB110" s="656">
        <f>MAX(DANE!CH628:CH714)</f>
        <v>0.90430211126005366</v>
      </c>
    </row>
    <row r="112" spans="1:34">
      <c r="K112" s="33" t="s">
        <v>41</v>
      </c>
      <c r="L112" s="33" t="s">
        <v>42</v>
      </c>
      <c r="M112" s="33" t="s">
        <v>43</v>
      </c>
      <c r="N112" s="33" t="s">
        <v>44</v>
      </c>
      <c r="O112" s="33" t="s">
        <v>45</v>
      </c>
      <c r="W112" s="38" t="s">
        <v>41</v>
      </c>
      <c r="X112" s="38" t="s">
        <v>42</v>
      </c>
      <c r="Y112" s="38" t="s">
        <v>43</v>
      </c>
      <c r="Z112" s="38" t="s">
        <v>44</v>
      </c>
      <c r="AA112" s="38" t="s">
        <v>45</v>
      </c>
    </row>
    <row r="113" spans="10:27" ht="15" thickBot="1">
      <c r="K113" s="49" t="s">
        <v>47</v>
      </c>
      <c r="L113" s="49" t="s">
        <v>47</v>
      </c>
      <c r="M113" s="49" t="s">
        <v>47</v>
      </c>
      <c r="N113" s="49" t="s">
        <v>61</v>
      </c>
      <c r="O113" s="49" t="s">
        <v>61</v>
      </c>
      <c r="W113" s="57" t="s">
        <v>47</v>
      </c>
      <c r="X113" s="57" t="s">
        <v>47</v>
      </c>
      <c r="Y113" s="57" t="s">
        <v>47</v>
      </c>
      <c r="Z113" s="57" t="s">
        <v>61</v>
      </c>
      <c r="AA113" s="57" t="s">
        <v>61</v>
      </c>
    </row>
    <row r="114" spans="10:27">
      <c r="J114" s="337" t="s">
        <v>130</v>
      </c>
      <c r="K114" s="662">
        <f>AVERAGE(DANE!AX628:AX714)</f>
        <v>70.357142857142847</v>
      </c>
      <c r="L114" s="662">
        <f>AVERAGE(DANE!AY628:AY714)</f>
        <v>28.842857142857138</v>
      </c>
      <c r="M114" s="662">
        <f>AVERAGE(DANE!AZ628:AZ714)</f>
        <v>0</v>
      </c>
      <c r="N114" s="662">
        <f>AVERAGE(DANE!BA628:BA714)</f>
        <v>8.5714285714285712</v>
      </c>
      <c r="O114" s="662">
        <f>AVERAGE(DANE!BB628:BB714)</f>
        <v>56.428571428571431</v>
      </c>
      <c r="P114" s="656"/>
      <c r="V114" s="337" t="s">
        <v>130</v>
      </c>
      <c r="W114" s="662">
        <f>AVERAGE(DANE!CI628:CI714)</f>
        <v>68</v>
      </c>
      <c r="X114" s="662">
        <f>AVERAGE(DANE!CJ628:CJ714)</f>
        <v>30.928571428571427</v>
      </c>
      <c r="Y114" s="662">
        <f>AVERAGE(DANE!CK628:CK714)</f>
        <v>0</v>
      </c>
      <c r="Z114" s="662">
        <f>AVERAGE(DANE!CL628:CL714)</f>
        <v>16.285714285714285</v>
      </c>
      <c r="AA114" s="662">
        <f>AVERAGE(DANE!CM628:CM714)</f>
        <v>110.71428571428571</v>
      </c>
    </row>
    <row r="115" spans="10:27">
      <c r="J115" t="s">
        <v>64</v>
      </c>
      <c r="K115" s="662">
        <f>MIN(DANE!AX628:AX714)</f>
        <v>64.8</v>
      </c>
      <c r="L115" s="662">
        <f>MIN(DANE!AY628:AY714)</f>
        <v>24.6</v>
      </c>
      <c r="M115" s="662">
        <f>MIN(DANE!AZ628:AZ714)</f>
        <v>0</v>
      </c>
      <c r="N115" s="662">
        <f>MIN(DANE!BA628:BA714)</f>
        <v>1</v>
      </c>
      <c r="O115" s="662">
        <f>MIN(DANE!BB628:BB714)</f>
        <v>40</v>
      </c>
      <c r="P115" s="656"/>
      <c r="V115" t="s">
        <v>64</v>
      </c>
      <c r="W115" s="662">
        <f>MIN(DANE!CI628:CI714)</f>
        <v>62.5</v>
      </c>
      <c r="X115" s="662">
        <f>MIN(DANE!CJ628:CJ714)</f>
        <v>27.4</v>
      </c>
      <c r="Y115" s="662">
        <f>MIN(DANE!CK628:CK714)</f>
        <v>0</v>
      </c>
      <c r="Z115" s="662">
        <f>MIN(DANE!CL628:CL714)</f>
        <v>6</v>
      </c>
      <c r="AA115" s="662">
        <f>MIN(DANE!CM628:CM714)</f>
        <v>45</v>
      </c>
    </row>
    <row r="116" spans="10:27">
      <c r="J116" t="s">
        <v>66</v>
      </c>
      <c r="K116" s="662">
        <f>MAX(DANE!AX628:AX714)</f>
        <v>75.3</v>
      </c>
      <c r="L116" s="662">
        <f>MAX(DANE!AY628:AY714)</f>
        <v>35</v>
      </c>
      <c r="M116" s="662">
        <f>MAX(DANE!AZ628:AZ714)</f>
        <v>0</v>
      </c>
      <c r="N116" s="662">
        <f>MAX(DANE!BA628:BA714)</f>
        <v>16</v>
      </c>
      <c r="O116" s="662">
        <f>MAX(DANE!BB628:BB714)</f>
        <v>85</v>
      </c>
      <c r="P116" s="656"/>
      <c r="V116" t="s">
        <v>66</v>
      </c>
      <c r="W116" s="662">
        <f>MAX(DANE!CI628:CI714)</f>
        <v>72</v>
      </c>
      <c r="X116" s="662">
        <f>MAX(DANE!CJ628:CJ714)</f>
        <v>37.4</v>
      </c>
      <c r="Y116" s="662">
        <f>MAX(DANE!CK628:CK714)</f>
        <v>0</v>
      </c>
      <c r="Z116" s="662">
        <f>MAX(DANE!CL628:CL714)</f>
        <v>39</v>
      </c>
      <c r="AA116" s="662">
        <f>MAX(DANE!CM628:CM714)</f>
        <v>160</v>
      </c>
    </row>
  </sheetData>
  <mergeCells count="6">
    <mergeCell ref="A2:A5"/>
    <mergeCell ref="B1:H1"/>
    <mergeCell ref="K1:V1"/>
    <mergeCell ref="S3:V3"/>
    <mergeCell ref="W1:AH1"/>
    <mergeCell ref="AE3:AH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7"/>
  <sheetViews>
    <sheetView topLeftCell="A34" zoomScale="80" zoomScaleNormal="80" workbookViewId="0">
      <selection activeCell="AC55" sqref="AC55"/>
    </sheetView>
  </sheetViews>
  <sheetFormatPr defaultRowHeight="14.25"/>
  <cols>
    <col min="1" max="1" width="10.125" style="94" bestFit="1" customWidth="1"/>
    <col min="2" max="2" width="11.125" style="94" bestFit="1" customWidth="1"/>
  </cols>
  <sheetData>
    <row r="1" spans="1:35">
      <c r="A1" s="1178" t="s">
        <v>187</v>
      </c>
      <c r="B1" s="1179" t="s">
        <v>9</v>
      </c>
      <c r="C1" s="1197" t="s">
        <v>188</v>
      </c>
      <c r="D1" s="1197"/>
      <c r="E1" s="1197"/>
      <c r="F1" s="1197"/>
      <c r="G1" s="1197"/>
      <c r="H1" s="1197"/>
      <c r="I1" s="1197"/>
      <c r="J1" s="1198"/>
      <c r="K1" s="1198"/>
      <c r="L1" s="1185" t="s">
        <v>91</v>
      </c>
      <c r="M1" s="1185"/>
      <c r="N1" s="1185"/>
      <c r="O1" s="1185"/>
      <c r="P1" s="1185"/>
      <c r="Q1" s="1185"/>
      <c r="R1" s="1185"/>
      <c r="S1" s="1185"/>
      <c r="T1" s="1185"/>
      <c r="U1" s="1185"/>
      <c r="V1" s="1185"/>
      <c r="W1" s="1185"/>
      <c r="X1" s="1188" t="s">
        <v>109</v>
      </c>
      <c r="Y1" s="1188"/>
      <c r="Z1" s="1188"/>
      <c r="AA1" s="1188"/>
      <c r="AB1" s="1188"/>
      <c r="AC1" s="1188"/>
      <c r="AD1" s="1188"/>
      <c r="AE1" s="1188"/>
      <c r="AF1" s="1188"/>
      <c r="AG1" s="1188"/>
      <c r="AH1" s="1188"/>
      <c r="AI1" s="1188"/>
    </row>
    <row r="2" spans="1:35">
      <c r="A2" s="1178"/>
      <c r="B2" s="1180"/>
      <c r="C2" s="1199" t="s">
        <v>20</v>
      </c>
      <c r="D2" s="1200"/>
      <c r="E2" s="1200"/>
      <c r="F2" s="1201"/>
      <c r="G2" s="1199" t="s">
        <v>99</v>
      </c>
      <c r="H2" s="1200"/>
      <c r="I2" s="1200"/>
      <c r="J2" s="1200"/>
      <c r="K2" s="1201"/>
      <c r="L2" s="1186"/>
      <c r="M2" s="1186"/>
      <c r="N2" s="1186"/>
      <c r="O2" s="1186"/>
      <c r="P2" s="1186"/>
      <c r="Q2" s="1186"/>
      <c r="R2" s="1186"/>
      <c r="S2" s="1186"/>
      <c r="T2" s="1186"/>
      <c r="U2" s="1186"/>
      <c r="V2" s="1186"/>
      <c r="W2" s="1186"/>
      <c r="X2" s="1189"/>
      <c r="Y2" s="1189"/>
      <c r="Z2" s="1189"/>
      <c r="AA2" s="1189"/>
      <c r="AB2" s="1189"/>
      <c r="AC2" s="1189"/>
      <c r="AD2" s="1189"/>
      <c r="AE2" s="1189"/>
      <c r="AF2" s="1189"/>
      <c r="AG2" s="1189"/>
      <c r="AH2" s="1189"/>
      <c r="AI2" s="1189"/>
    </row>
    <row r="3" spans="1:35">
      <c r="A3" s="1178"/>
      <c r="B3" s="1180"/>
      <c r="C3" s="1202"/>
      <c r="D3" s="1203"/>
      <c r="E3" s="1203"/>
      <c r="F3" s="1204"/>
      <c r="G3" s="1202"/>
      <c r="H3" s="1203"/>
      <c r="I3" s="1203"/>
      <c r="J3" s="1203"/>
      <c r="K3" s="1204"/>
      <c r="L3" s="1186"/>
      <c r="M3" s="1186"/>
      <c r="N3" s="1186"/>
      <c r="O3" s="1186"/>
      <c r="P3" s="1186"/>
      <c r="Q3" s="1186"/>
      <c r="R3" s="1186"/>
      <c r="S3" s="1186"/>
      <c r="T3" s="1185" t="s">
        <v>88</v>
      </c>
      <c r="U3" s="1185"/>
      <c r="V3" s="1185"/>
      <c r="W3" s="1185"/>
      <c r="X3" s="1189"/>
      <c r="Y3" s="1189"/>
      <c r="Z3" s="1189"/>
      <c r="AA3" s="1189"/>
      <c r="AB3" s="1189"/>
      <c r="AC3" s="1189"/>
      <c r="AD3" s="1189"/>
      <c r="AE3" s="1189"/>
      <c r="AF3" s="1188" t="s">
        <v>88</v>
      </c>
      <c r="AG3" s="1188"/>
      <c r="AH3" s="1188"/>
      <c r="AI3" s="1188"/>
    </row>
    <row r="4" spans="1:35">
      <c r="A4" s="1178"/>
      <c r="B4" s="1180"/>
      <c r="C4" s="1205" t="s">
        <v>29</v>
      </c>
      <c r="D4" s="1205" t="s">
        <v>30</v>
      </c>
      <c r="E4" s="1205" t="s">
        <v>31</v>
      </c>
      <c r="F4" s="1205" t="s">
        <v>32</v>
      </c>
      <c r="G4" s="1205" t="s">
        <v>33</v>
      </c>
      <c r="H4" s="1205" t="s">
        <v>34</v>
      </c>
      <c r="I4" s="1205" t="s">
        <v>103</v>
      </c>
      <c r="J4" s="1205" t="s">
        <v>129</v>
      </c>
      <c r="K4" s="1205" t="s">
        <v>35</v>
      </c>
      <c r="L4" s="1187" t="s">
        <v>29</v>
      </c>
      <c r="M4" s="1187" t="s">
        <v>30</v>
      </c>
      <c r="N4" s="1187" t="s">
        <v>31</v>
      </c>
      <c r="O4" s="1187" t="s">
        <v>33</v>
      </c>
      <c r="P4" s="1187" t="s">
        <v>34</v>
      </c>
      <c r="Q4" s="1187" t="s">
        <v>103</v>
      </c>
      <c r="R4" s="1187" t="s">
        <v>129</v>
      </c>
      <c r="S4" s="1187" t="s">
        <v>35</v>
      </c>
      <c r="T4" s="1187" t="s">
        <v>89</v>
      </c>
      <c r="U4" s="1187" t="s">
        <v>89</v>
      </c>
      <c r="V4" s="1187" t="s">
        <v>90</v>
      </c>
      <c r="W4" s="1187" t="s">
        <v>90</v>
      </c>
      <c r="X4" s="1190" t="s">
        <v>29</v>
      </c>
      <c r="Y4" s="1190" t="s">
        <v>30</v>
      </c>
      <c r="Z4" s="1190" t="s">
        <v>31</v>
      </c>
      <c r="AA4" s="1190" t="s">
        <v>33</v>
      </c>
      <c r="AB4" s="1190" t="s">
        <v>34</v>
      </c>
      <c r="AC4" s="1190" t="s">
        <v>103</v>
      </c>
      <c r="AD4" s="1190" t="s">
        <v>129</v>
      </c>
      <c r="AE4" s="1190" t="s">
        <v>35</v>
      </c>
      <c r="AF4" s="1190" t="s">
        <v>89</v>
      </c>
      <c r="AG4" s="1190" t="s">
        <v>89</v>
      </c>
      <c r="AH4" s="1190" t="s">
        <v>90</v>
      </c>
      <c r="AI4" s="1190" t="s">
        <v>90</v>
      </c>
    </row>
    <row r="5" spans="1:35">
      <c r="A5" s="1178"/>
      <c r="B5" s="1181"/>
      <c r="C5" s="1205" t="s">
        <v>47</v>
      </c>
      <c r="D5" s="1205" t="s">
        <v>48</v>
      </c>
      <c r="E5" s="1205" t="s">
        <v>49</v>
      </c>
      <c r="F5" s="1205" t="s">
        <v>50</v>
      </c>
      <c r="G5" s="1205" t="s">
        <v>51</v>
      </c>
      <c r="H5" s="1205" t="s">
        <v>51</v>
      </c>
      <c r="I5" s="1205" t="s">
        <v>51</v>
      </c>
      <c r="J5" s="1205" t="s">
        <v>105</v>
      </c>
      <c r="K5" s="1205" t="s">
        <v>51</v>
      </c>
      <c r="L5" s="1187" t="s">
        <v>47</v>
      </c>
      <c r="M5" s="1187" t="s">
        <v>48</v>
      </c>
      <c r="N5" s="1187" t="s">
        <v>49</v>
      </c>
      <c r="O5" s="1187" t="s">
        <v>50</v>
      </c>
      <c r="P5" s="1187" t="s">
        <v>51</v>
      </c>
      <c r="Q5" s="1187" t="s">
        <v>51</v>
      </c>
      <c r="R5" s="1187" t="s">
        <v>51</v>
      </c>
      <c r="S5" s="1187" t="s">
        <v>51</v>
      </c>
      <c r="T5" s="1187" t="s">
        <v>47</v>
      </c>
      <c r="U5" s="1187" t="s">
        <v>47</v>
      </c>
      <c r="V5" s="1187" t="s">
        <v>47</v>
      </c>
      <c r="W5" s="1187" t="s">
        <v>47</v>
      </c>
      <c r="X5" s="1190" t="s">
        <v>47</v>
      </c>
      <c r="Y5" s="1190" t="s">
        <v>48</v>
      </c>
      <c r="Z5" s="1190" t="s">
        <v>49</v>
      </c>
      <c r="AA5" s="1190" t="s">
        <v>50</v>
      </c>
      <c r="AB5" s="1190" t="s">
        <v>51</v>
      </c>
      <c r="AC5" s="1190" t="s">
        <v>51</v>
      </c>
      <c r="AD5" s="1190" t="s">
        <v>51</v>
      </c>
      <c r="AE5" s="1190" t="s">
        <v>51</v>
      </c>
      <c r="AF5" s="1190" t="s">
        <v>47</v>
      </c>
      <c r="AG5" s="1190" t="s">
        <v>47</v>
      </c>
      <c r="AH5" s="1190" t="s">
        <v>47</v>
      </c>
      <c r="AI5" s="1190" t="s">
        <v>47</v>
      </c>
    </row>
    <row r="6" spans="1:35">
      <c r="A6" s="1209" t="s">
        <v>189</v>
      </c>
      <c r="B6" s="1038">
        <v>41564</v>
      </c>
      <c r="C6" s="116">
        <v>3.8</v>
      </c>
      <c r="D6" s="116">
        <v>77.099999999999994</v>
      </c>
      <c r="E6" s="116">
        <v>46300</v>
      </c>
      <c r="F6" s="116"/>
      <c r="G6" s="116"/>
      <c r="H6" s="116">
        <v>6876</v>
      </c>
      <c r="I6" s="116"/>
      <c r="J6" s="116"/>
      <c r="K6" s="116"/>
      <c r="L6" s="147">
        <v>2.6</v>
      </c>
      <c r="M6" s="147">
        <v>65.5</v>
      </c>
      <c r="N6" s="147">
        <v>26400</v>
      </c>
      <c r="O6" s="147"/>
      <c r="P6" s="147">
        <v>1625</v>
      </c>
      <c r="Q6" s="147"/>
      <c r="R6" s="147"/>
      <c r="S6" s="147"/>
      <c r="T6" s="116">
        <v>36.631732878381662</v>
      </c>
      <c r="U6" s="116">
        <v>30.188405797101471</v>
      </c>
      <c r="V6" s="116">
        <v>45.325410044576167</v>
      </c>
      <c r="W6" s="116">
        <v>39.766061775803813</v>
      </c>
      <c r="X6" s="147">
        <v>2.7</v>
      </c>
      <c r="Y6" s="147">
        <v>64</v>
      </c>
      <c r="Z6" s="147">
        <v>25500</v>
      </c>
      <c r="AA6" s="147"/>
      <c r="AB6" s="147">
        <v>3457</v>
      </c>
      <c r="AC6" s="147"/>
      <c r="AD6" s="147"/>
      <c r="AE6" s="147"/>
      <c r="AF6" s="116">
        <v>34.194491835242495</v>
      </c>
      <c r="AG6" s="116">
        <v>33.097222222222243</v>
      </c>
      <c r="AH6" s="116">
        <v>44.522788348225248</v>
      </c>
      <c r="AI6" s="116">
        <v>43.597737235358281</v>
      </c>
    </row>
    <row r="7" spans="1:35">
      <c r="A7" s="1210"/>
      <c r="B7" s="1038">
        <v>41569</v>
      </c>
      <c r="C7" s="116">
        <v>3.32</v>
      </c>
      <c r="D7" s="116">
        <v>78</v>
      </c>
      <c r="E7" s="116"/>
      <c r="F7" s="116">
        <v>5.84</v>
      </c>
      <c r="G7" s="116"/>
      <c r="H7" s="116"/>
      <c r="I7" s="116"/>
      <c r="J7" s="116"/>
      <c r="K7" s="116"/>
      <c r="L7" s="852">
        <v>2.46</v>
      </c>
      <c r="M7" s="852">
        <v>66.62</v>
      </c>
      <c r="N7" s="147"/>
      <c r="O7" s="147"/>
      <c r="P7" s="147"/>
      <c r="Q7" s="147"/>
      <c r="R7" s="147"/>
      <c r="S7" s="147"/>
      <c r="T7" s="116">
        <v>39.003223406893127</v>
      </c>
      <c r="U7" s="116">
        <v>29.080287597363718</v>
      </c>
      <c r="V7" s="116">
        <v>46.760579393494048</v>
      </c>
      <c r="W7" s="116">
        <v>38.099607736926274</v>
      </c>
      <c r="X7" s="1191">
        <v>2.65</v>
      </c>
      <c r="Y7" s="1191">
        <v>60.72</v>
      </c>
      <c r="Z7" s="147"/>
      <c r="AA7" s="147"/>
      <c r="AB7" s="147"/>
      <c r="AC7" s="147"/>
      <c r="AD7" s="147"/>
      <c r="AE7" s="147"/>
      <c r="AF7" s="116">
        <v>34.292090255392999</v>
      </c>
      <c r="AG7" s="116">
        <v>39.732688391038728</v>
      </c>
      <c r="AH7" s="116">
        <v>47.727746672965843</v>
      </c>
      <c r="AI7" s="116">
        <v>52.055875890626808</v>
      </c>
    </row>
    <row r="8" spans="1:35">
      <c r="A8" s="1210"/>
      <c r="B8" s="1038">
        <v>41571</v>
      </c>
      <c r="C8" s="116">
        <v>3.4</v>
      </c>
      <c r="D8" s="116">
        <v>74.3</v>
      </c>
      <c r="E8" s="116">
        <v>36400</v>
      </c>
      <c r="F8" s="116"/>
      <c r="G8" s="116">
        <v>44.2</v>
      </c>
      <c r="H8" s="116">
        <v>4987</v>
      </c>
      <c r="I8" s="116">
        <v>2189</v>
      </c>
      <c r="J8" s="116">
        <v>43.4</v>
      </c>
      <c r="K8" s="116">
        <v>179</v>
      </c>
      <c r="L8" s="147">
        <v>2.6</v>
      </c>
      <c r="M8" s="147">
        <v>65</v>
      </c>
      <c r="N8" s="147">
        <v>22400</v>
      </c>
      <c r="O8" s="147">
        <v>39.1</v>
      </c>
      <c r="P8" s="147">
        <v>1631</v>
      </c>
      <c r="Q8" s="147">
        <v>445</v>
      </c>
      <c r="R8" s="147">
        <v>76.2</v>
      </c>
      <c r="S8" s="147">
        <v>113</v>
      </c>
      <c r="T8" s="116">
        <v>34.525308486527322</v>
      </c>
      <c r="U8" s="116">
        <v>31.651428571428575</v>
      </c>
      <c r="V8" s="116">
        <v>44.059321375749583</v>
      </c>
      <c r="W8" s="116">
        <v>41.603917783628091</v>
      </c>
      <c r="X8" s="147">
        <v>2.7</v>
      </c>
      <c r="Y8" s="147">
        <v>62.6</v>
      </c>
      <c r="Z8" s="147">
        <v>22700</v>
      </c>
      <c r="AA8" s="147">
        <v>39</v>
      </c>
      <c r="AB8" s="147">
        <v>3425</v>
      </c>
      <c r="AC8" s="147">
        <v>660</v>
      </c>
      <c r="AD8" s="147">
        <v>92.2</v>
      </c>
      <c r="AE8" s="147">
        <v>85.7</v>
      </c>
      <c r="AF8" s="116">
        <v>32.007051120624524</v>
      </c>
      <c r="AG8" s="116">
        <v>36.037433155080222</v>
      </c>
      <c r="AH8" s="116">
        <v>44.05270117709582</v>
      </c>
      <c r="AI8" s="116">
        <v>47.369059590262914</v>
      </c>
    </row>
    <row r="9" spans="1:35">
      <c r="A9" s="1210"/>
      <c r="B9" s="1038">
        <v>41577</v>
      </c>
      <c r="C9" s="116">
        <v>3.32</v>
      </c>
      <c r="D9" s="116">
        <v>76.739999999999995</v>
      </c>
      <c r="E9" s="116">
        <v>37700</v>
      </c>
      <c r="F9" s="116">
        <v>6.48</v>
      </c>
      <c r="G9" s="116"/>
      <c r="H9" s="116">
        <v>3605</v>
      </c>
      <c r="I9" s="116"/>
      <c r="J9" s="116"/>
      <c r="K9" s="116"/>
      <c r="L9" s="1191">
        <v>2.39</v>
      </c>
      <c r="M9" s="1191">
        <v>66.930000000000007</v>
      </c>
      <c r="N9" s="1058">
        <v>25600</v>
      </c>
      <c r="O9" s="1058"/>
      <c r="P9" s="1058">
        <v>1336</v>
      </c>
      <c r="Q9" s="1058"/>
      <c r="R9" s="1058"/>
      <c r="S9" s="1058"/>
      <c r="T9" s="116">
        <v>37.483651582526797</v>
      </c>
      <c r="U9" s="116">
        <v>28.309646205019646</v>
      </c>
      <c r="V9" s="116">
        <v>45.155203696567384</v>
      </c>
      <c r="W9" s="116">
        <v>37.106965612409752</v>
      </c>
      <c r="X9" s="1191">
        <v>2.5299999999999998</v>
      </c>
      <c r="Y9" s="1191">
        <v>62.37</v>
      </c>
      <c r="Z9" s="1058">
        <v>22300</v>
      </c>
      <c r="AA9" s="1058"/>
      <c r="AB9" s="1058">
        <v>2479</v>
      </c>
      <c r="AC9" s="1058"/>
      <c r="AD9" s="1058"/>
      <c r="AE9" s="1058"/>
      <c r="AF9" s="116">
        <v>33.821606068532567</v>
      </c>
      <c r="AG9" s="116">
        <v>36.997076800425198</v>
      </c>
      <c r="AH9" s="116">
        <v>45.898043969149803</v>
      </c>
      <c r="AI9" s="116">
        <v>48.49404498561475</v>
      </c>
    </row>
    <row r="10" spans="1:35">
      <c r="A10" s="1210"/>
      <c r="B10" s="1038">
        <v>41583</v>
      </c>
      <c r="C10" s="116">
        <v>2.91</v>
      </c>
      <c r="D10" s="116">
        <v>73.23</v>
      </c>
      <c r="E10" s="116"/>
      <c r="F10" s="116">
        <v>7.15</v>
      </c>
      <c r="G10" s="116"/>
      <c r="H10" s="116"/>
      <c r="I10" s="116"/>
      <c r="J10" s="116"/>
      <c r="K10" s="116"/>
      <c r="L10" s="1191">
        <v>2.38</v>
      </c>
      <c r="M10" s="1191">
        <v>66.86</v>
      </c>
      <c r="N10" s="1058"/>
      <c r="O10" s="1058"/>
      <c r="P10" s="1058"/>
      <c r="Q10" s="1058"/>
      <c r="R10" s="1058"/>
      <c r="S10" s="1058"/>
      <c r="T10" s="116">
        <v>35.220468154599885</v>
      </c>
      <c r="U10" s="116">
        <v>27.866626433313215</v>
      </c>
      <c r="V10" s="116">
        <v>43.082206463191376</v>
      </c>
      <c r="W10" s="116">
        <v>36.620837680942522</v>
      </c>
      <c r="X10" s="1191">
        <v>2.5099999999999998</v>
      </c>
      <c r="Y10" s="1191">
        <v>64.37</v>
      </c>
      <c r="Z10" s="1058"/>
      <c r="AA10" s="1058"/>
      <c r="AB10" s="1058"/>
      <c r="AC10" s="1058"/>
      <c r="AD10" s="1058"/>
      <c r="AE10" s="1058"/>
      <c r="AF10" s="116">
        <v>31.682090364725095</v>
      </c>
      <c r="AG10" s="116">
        <v>32.907662082514719</v>
      </c>
      <c r="AH10" s="116">
        <v>42.208767419375171</v>
      </c>
      <c r="AI10" s="116">
        <v>43.245498498606644</v>
      </c>
    </row>
    <row r="11" spans="1:35">
      <c r="A11" s="1210"/>
      <c r="B11" s="1038">
        <v>41585</v>
      </c>
      <c r="C11" s="116">
        <v>3.1</v>
      </c>
      <c r="D11" s="116">
        <v>70.900000000000006</v>
      </c>
      <c r="E11" s="116">
        <v>34100</v>
      </c>
      <c r="F11" s="116"/>
      <c r="G11" s="116">
        <v>53.1</v>
      </c>
      <c r="H11" s="116">
        <v>2858</v>
      </c>
      <c r="I11" s="116">
        <v>1075</v>
      </c>
      <c r="J11" s="116">
        <v>48.8</v>
      </c>
      <c r="K11" s="116">
        <v>181</v>
      </c>
      <c r="L11" s="1058">
        <v>2.5</v>
      </c>
      <c r="M11" s="1058">
        <v>65.5</v>
      </c>
      <c r="N11" s="1058">
        <v>24000</v>
      </c>
      <c r="O11" s="1058">
        <v>44</v>
      </c>
      <c r="P11" s="1058">
        <v>1576</v>
      </c>
      <c r="Q11" s="1058">
        <v>410</v>
      </c>
      <c r="R11" s="1058">
        <v>76</v>
      </c>
      <c r="S11" s="1058">
        <v>110</v>
      </c>
      <c r="T11" s="116">
        <v>30.400890868596882</v>
      </c>
      <c r="U11" s="116">
        <v>28.828985507246372</v>
      </c>
      <c r="V11" s="116">
        <v>39.576098824233163</v>
      </c>
      <c r="W11" s="116">
        <v>38.211416784516572</v>
      </c>
      <c r="X11" s="1058">
        <v>2.7</v>
      </c>
      <c r="Y11" s="1058">
        <v>61.6</v>
      </c>
      <c r="Z11" s="1058">
        <v>23800</v>
      </c>
      <c r="AA11" s="1058">
        <v>47.7</v>
      </c>
      <c r="AB11" s="1058">
        <v>3143</v>
      </c>
      <c r="AC11" s="1058">
        <v>683</v>
      </c>
      <c r="AD11" s="1058">
        <v>91.3</v>
      </c>
      <c r="AE11" s="1058">
        <v>89.6</v>
      </c>
      <c r="AF11" s="116">
        <v>24.832962138084628</v>
      </c>
      <c r="AG11" s="116">
        <v>36.057291666666657</v>
      </c>
      <c r="AH11" s="116">
        <v>38.627766451581422</v>
      </c>
      <c r="AI11" s="116">
        <v>47.79218469722273</v>
      </c>
    </row>
    <row r="12" spans="1:35">
      <c r="A12" s="1210"/>
      <c r="B12" s="1038">
        <v>41591</v>
      </c>
      <c r="C12" s="116">
        <v>2.98</v>
      </c>
      <c r="D12" s="116">
        <v>76.64</v>
      </c>
      <c r="E12" s="116"/>
      <c r="F12" s="116">
        <v>6.55</v>
      </c>
      <c r="G12" s="116"/>
      <c r="H12" s="116"/>
      <c r="I12" s="116"/>
      <c r="J12" s="116"/>
      <c r="K12" s="116"/>
      <c r="L12" s="1191">
        <v>2.41</v>
      </c>
      <c r="M12" s="1191">
        <v>68.38</v>
      </c>
      <c r="N12" s="1058"/>
      <c r="O12" s="1058"/>
      <c r="P12" s="1058"/>
      <c r="Q12" s="1058"/>
      <c r="R12" s="1058"/>
      <c r="S12" s="1058"/>
      <c r="T12" s="116">
        <v>31.920903954802263</v>
      </c>
      <c r="U12" s="116">
        <v>22.991777356103761</v>
      </c>
      <c r="V12" s="116">
        <v>38.463336582014271</v>
      </c>
      <c r="W12" s="116">
        <v>30.392303180573379</v>
      </c>
      <c r="X12" s="1191">
        <v>2.56</v>
      </c>
      <c r="Y12" s="1191">
        <v>61.39</v>
      </c>
      <c r="Z12" s="1058"/>
      <c r="AA12" s="1058"/>
      <c r="AB12" s="1058"/>
      <c r="AC12" s="1058"/>
      <c r="AD12" s="1058"/>
      <c r="AE12" s="1058"/>
      <c r="AF12" s="116">
        <v>27.683615819209049</v>
      </c>
      <c r="AG12" s="116">
        <v>36.933436933436944</v>
      </c>
      <c r="AH12" s="116">
        <v>41.315230338945717</v>
      </c>
      <c r="AI12" s="116">
        <v>48.82146322992326</v>
      </c>
    </row>
    <row r="13" spans="1:35">
      <c r="A13" s="1210"/>
      <c r="B13" s="1038">
        <v>41592</v>
      </c>
      <c r="C13" s="116">
        <v>3.7</v>
      </c>
      <c r="D13" s="116">
        <v>76.599999999999994</v>
      </c>
      <c r="E13" s="116">
        <v>38000</v>
      </c>
      <c r="F13" s="116"/>
      <c r="G13" s="116"/>
      <c r="H13" s="116">
        <v>4768</v>
      </c>
      <c r="I13" s="116"/>
      <c r="J13" s="116"/>
      <c r="K13" s="116"/>
      <c r="L13" s="1058">
        <v>2.5</v>
      </c>
      <c r="M13" s="1058">
        <v>66.7</v>
      </c>
      <c r="N13" s="1058">
        <v>24900</v>
      </c>
      <c r="O13" s="1058"/>
      <c r="P13" s="1058">
        <v>1625</v>
      </c>
      <c r="Q13" s="1058"/>
      <c r="R13" s="1058"/>
      <c r="S13" s="1058"/>
      <c r="T13" s="116">
        <v>28.263988522238179</v>
      </c>
      <c r="U13" s="116">
        <v>27.43543543543543</v>
      </c>
      <c r="V13" s="116">
        <v>36.906060900275421</v>
      </c>
      <c r="W13" s="116">
        <v>36.177324008960689</v>
      </c>
      <c r="X13" s="1058">
        <v>2.6</v>
      </c>
      <c r="Y13" s="1058">
        <v>61.6</v>
      </c>
      <c r="Z13" s="1058">
        <v>24500</v>
      </c>
      <c r="AA13" s="1058"/>
      <c r="AB13" s="1058">
        <v>3352</v>
      </c>
      <c r="AC13" s="1058"/>
      <c r="AD13" s="1058"/>
      <c r="AE13" s="1058"/>
      <c r="AF13" s="116">
        <v>25.394548063127704</v>
      </c>
      <c r="AG13" s="116">
        <v>37.072916666666657</v>
      </c>
      <c r="AH13" s="116">
        <v>39.399548508474425</v>
      </c>
      <c r="AI13" s="116">
        <v>48.885643581764157</v>
      </c>
    </row>
    <row r="14" spans="1:35">
      <c r="A14" s="1210"/>
      <c r="B14" s="1038">
        <v>41598</v>
      </c>
      <c r="C14" s="116">
        <v>3.22</v>
      </c>
      <c r="D14" s="116">
        <v>77.28</v>
      </c>
      <c r="E14" s="116"/>
      <c r="F14" s="116">
        <v>6.27</v>
      </c>
      <c r="G14" s="116"/>
      <c r="H14" s="116"/>
      <c r="I14" s="116"/>
      <c r="J14" s="116"/>
      <c r="K14" s="116"/>
      <c r="L14" s="1192">
        <v>2.42</v>
      </c>
      <c r="M14" s="1192">
        <v>67.5</v>
      </c>
      <c r="N14" s="1062"/>
      <c r="O14" s="1062"/>
      <c r="P14" s="1062"/>
      <c r="Q14" s="1062"/>
      <c r="R14" s="1062"/>
      <c r="S14" s="1062"/>
      <c r="T14" s="116">
        <v>28.125928125928127</v>
      </c>
      <c r="U14" s="116">
        <v>25.889230769230775</v>
      </c>
      <c r="V14" s="116">
        <v>36.092158870566017</v>
      </c>
      <c r="W14" s="116">
        <v>34.103367981177087</v>
      </c>
      <c r="X14" s="1192">
        <v>2.59</v>
      </c>
      <c r="Y14" s="1192">
        <v>60.76</v>
      </c>
      <c r="Z14" s="1062"/>
      <c r="AA14" s="1062"/>
      <c r="AB14" s="1062"/>
      <c r="AC14" s="1062"/>
      <c r="AD14" s="1062"/>
      <c r="AE14" s="1062"/>
      <c r="AF14" s="116">
        <v>23.076923076923084</v>
      </c>
      <c r="AG14" s="116">
        <v>38.618756371049955</v>
      </c>
      <c r="AH14" s="116">
        <v>38.432355641302621</v>
      </c>
      <c r="AI14" s="116">
        <v>50.871718485457166</v>
      </c>
    </row>
    <row r="15" spans="1:35">
      <c r="A15" s="1210"/>
      <c r="B15" s="1038">
        <v>41599</v>
      </c>
      <c r="C15" s="116">
        <v>3.2</v>
      </c>
      <c r="D15" s="116">
        <v>76.3</v>
      </c>
      <c r="E15" s="116">
        <v>39700</v>
      </c>
      <c r="F15" s="116"/>
      <c r="G15" s="116">
        <v>45.8</v>
      </c>
      <c r="H15" s="116">
        <v>3973</v>
      </c>
      <c r="I15" s="116">
        <v>2017</v>
      </c>
      <c r="J15" s="116">
        <v>39</v>
      </c>
      <c r="K15" s="116">
        <v>215</v>
      </c>
      <c r="L15" s="1062">
        <v>2.4</v>
      </c>
      <c r="M15" s="1062">
        <v>66.8</v>
      </c>
      <c r="N15" s="1062">
        <v>25400</v>
      </c>
      <c r="O15" s="1062">
        <v>39.799999999999997</v>
      </c>
      <c r="P15" s="1062">
        <v>1770</v>
      </c>
      <c r="Q15" s="1062">
        <v>523</v>
      </c>
      <c r="R15" s="1062">
        <v>80.7</v>
      </c>
      <c r="S15" s="1062">
        <v>111</v>
      </c>
      <c r="T15" s="116">
        <v>27.16236722306526</v>
      </c>
      <c r="U15" s="116">
        <v>26.834337349397565</v>
      </c>
      <c r="V15" s="116">
        <v>35.73348123077519</v>
      </c>
      <c r="W15" s="116">
        <v>35.444052027364734</v>
      </c>
      <c r="X15" s="1062">
        <v>2.6</v>
      </c>
      <c r="Y15" s="1062">
        <v>62.1</v>
      </c>
      <c r="Z15" s="1062">
        <v>23500</v>
      </c>
      <c r="AA15" s="1062">
        <v>39.4</v>
      </c>
      <c r="AB15" s="1062">
        <v>3388</v>
      </c>
      <c r="AC15" s="1062">
        <v>777</v>
      </c>
      <c r="AD15" s="1062">
        <v>88.2</v>
      </c>
      <c r="AE15" s="1062">
        <v>101</v>
      </c>
      <c r="AF15" s="116">
        <v>21.092564491654027</v>
      </c>
      <c r="AG15" s="116">
        <v>35.907651715039549</v>
      </c>
      <c r="AH15" s="116">
        <v>35.276496254497012</v>
      </c>
      <c r="AI15" s="116">
        <v>47.428511425378161</v>
      </c>
    </row>
    <row r="16" spans="1:35">
      <c r="A16" s="1210"/>
      <c r="B16" s="1038">
        <v>41604</v>
      </c>
      <c r="C16" s="116">
        <v>3.96</v>
      </c>
      <c r="D16" s="116">
        <v>79.38</v>
      </c>
      <c r="E16" s="116"/>
      <c r="F16" s="116">
        <v>6.12</v>
      </c>
      <c r="G16" s="116"/>
      <c r="H16" s="116"/>
      <c r="I16" s="116"/>
      <c r="J16" s="116"/>
      <c r="K16" s="116"/>
      <c r="L16" s="1192">
        <v>2.37</v>
      </c>
      <c r="M16" s="1192">
        <v>68.44</v>
      </c>
      <c r="N16" s="1062"/>
      <c r="O16" s="1062"/>
      <c r="P16" s="1062"/>
      <c r="Q16" s="1062"/>
      <c r="R16" s="1062"/>
      <c r="S16" s="1062"/>
      <c r="T16" s="116">
        <v>28.420416792509812</v>
      </c>
      <c r="U16" s="116">
        <v>23.754752851710982</v>
      </c>
      <c r="V16" s="116">
        <v>35.487223952478644</v>
      </c>
      <c r="W16" s="116">
        <v>31.282185037216358</v>
      </c>
      <c r="X16" s="1192">
        <v>2.5499999999999998</v>
      </c>
      <c r="Y16" s="1192">
        <v>61.54</v>
      </c>
      <c r="Z16" s="1062"/>
      <c r="AA16" s="1062"/>
      <c r="AB16" s="1062"/>
      <c r="AC16" s="1062"/>
      <c r="AD16" s="1062"/>
      <c r="AE16" s="1062"/>
      <c r="AF16" s="116">
        <v>22.983992751434617</v>
      </c>
      <c r="AG16" s="116">
        <v>37.433697347893883</v>
      </c>
      <c r="AH16" s="116">
        <v>37.585563215866898</v>
      </c>
      <c r="AI16" s="116">
        <v>49.295728495850355</v>
      </c>
    </row>
    <row r="17" spans="1:35">
      <c r="A17" s="1210"/>
      <c r="B17" s="1038">
        <v>41606</v>
      </c>
      <c r="C17" s="116">
        <v>3.7</v>
      </c>
      <c r="D17" s="116">
        <v>76.7</v>
      </c>
      <c r="E17" s="116">
        <v>39900</v>
      </c>
      <c r="F17" s="116"/>
      <c r="G17" s="116"/>
      <c r="H17" s="116">
        <v>3793</v>
      </c>
      <c r="I17" s="116"/>
      <c r="J17" s="116"/>
      <c r="K17" s="116"/>
      <c r="L17" s="1062">
        <v>2.4</v>
      </c>
      <c r="M17" s="1062">
        <v>66.599999999999994</v>
      </c>
      <c r="N17" s="1062">
        <v>22500</v>
      </c>
      <c r="O17" s="1062"/>
      <c r="P17" s="1062">
        <v>1479</v>
      </c>
      <c r="Q17" s="1062"/>
      <c r="R17" s="1062"/>
      <c r="S17" s="1062"/>
      <c r="T17" s="116">
        <v>28.336816960286662</v>
      </c>
      <c r="U17" s="116">
        <v>27.565868263473025</v>
      </c>
      <c r="V17" s="116">
        <v>37.040537279605992</v>
      </c>
      <c r="W17" s="116">
        <v>36.363222741267997</v>
      </c>
      <c r="X17" s="1062">
        <v>2.5</v>
      </c>
      <c r="Y17" s="1062">
        <v>64.400000000000006</v>
      </c>
      <c r="Z17" s="1062">
        <v>24100</v>
      </c>
      <c r="AA17" s="1062"/>
      <c r="AB17" s="1062">
        <v>2971</v>
      </c>
      <c r="AC17" s="1062"/>
      <c r="AD17" s="1062"/>
      <c r="AE17" s="1062"/>
      <c r="AF17" s="116">
        <v>25.350851000298601</v>
      </c>
      <c r="AG17" s="116">
        <v>32.042134831460636</v>
      </c>
      <c r="AH17" s="116">
        <v>36.583624261865388</v>
      </c>
      <c r="AI17" s="116">
        <v>42.268042306727125</v>
      </c>
    </row>
    <row r="18" spans="1:35">
      <c r="A18" s="1210"/>
      <c r="B18" s="1038">
        <v>41611</v>
      </c>
      <c r="C18" s="116">
        <v>3.17</v>
      </c>
      <c r="D18" s="116">
        <v>77.39</v>
      </c>
      <c r="E18" s="116"/>
      <c r="F18" s="116">
        <v>6.32</v>
      </c>
      <c r="G18" s="116"/>
      <c r="H18" s="116"/>
      <c r="I18" s="116"/>
      <c r="J18" s="116"/>
      <c r="K18" s="116"/>
      <c r="L18" s="1192">
        <v>2.33</v>
      </c>
      <c r="M18" s="1192">
        <v>68.099999999999994</v>
      </c>
      <c r="N18" s="1062"/>
      <c r="O18" s="1062"/>
      <c r="P18" s="1062"/>
      <c r="Q18" s="1062"/>
      <c r="R18" s="1062"/>
      <c r="S18" s="1062"/>
      <c r="T18" s="116">
        <v>29.945880938063752</v>
      </c>
      <c r="U18" s="116">
        <v>25.12852664576808</v>
      </c>
      <c r="V18" s="116">
        <v>37.323486413922723</v>
      </c>
      <c r="W18" s="116">
        <v>33.013461881559827</v>
      </c>
      <c r="X18" s="1192">
        <v>2.6</v>
      </c>
      <c r="Y18" s="1192">
        <v>61.31</v>
      </c>
      <c r="Z18" s="1062"/>
      <c r="AA18" s="1062"/>
      <c r="AB18" s="1062"/>
      <c r="AC18" s="1062"/>
      <c r="AD18" s="1062"/>
      <c r="AE18" s="1062"/>
      <c r="AF18" s="116">
        <v>21.828021647624784</v>
      </c>
      <c r="AG18" s="116">
        <v>38.268286378909309</v>
      </c>
      <c r="AH18" s="116">
        <v>37.03394827915124</v>
      </c>
      <c r="AI18" s="116">
        <v>50.276270927149753</v>
      </c>
    </row>
    <row r="19" spans="1:35">
      <c r="A19" s="1210"/>
      <c r="B19" s="1038">
        <v>41613</v>
      </c>
      <c r="C19" s="116">
        <v>3.1</v>
      </c>
      <c r="D19" s="116">
        <v>75.599999999999994</v>
      </c>
      <c r="E19" s="116">
        <v>34000</v>
      </c>
      <c r="F19" s="116"/>
      <c r="G19" s="116">
        <v>46</v>
      </c>
      <c r="H19" s="116">
        <v>4075</v>
      </c>
      <c r="I19" s="116">
        <v>2046</v>
      </c>
      <c r="J19" s="116">
        <v>40.700000000000003</v>
      </c>
      <c r="K19" s="116">
        <v>170</v>
      </c>
      <c r="L19" s="1062">
        <v>2.4</v>
      </c>
      <c r="M19" s="1062">
        <v>67.5</v>
      </c>
      <c r="N19" s="1062">
        <v>24700</v>
      </c>
      <c r="O19" s="1062">
        <v>40.299999999999997</v>
      </c>
      <c r="P19" s="1062">
        <v>1666</v>
      </c>
      <c r="Q19" s="1062">
        <v>591</v>
      </c>
      <c r="R19" s="1062">
        <v>70.900000000000006</v>
      </c>
      <c r="S19" s="1062">
        <v>92.5</v>
      </c>
      <c r="T19" s="116">
        <v>27.360774818401936</v>
      </c>
      <c r="U19" s="116">
        <v>26.159999999999982</v>
      </c>
      <c r="V19" s="116">
        <v>35.486596408543591</v>
      </c>
      <c r="W19" s="116">
        <v>34.420146838241081</v>
      </c>
      <c r="X19" s="1062">
        <v>2.6</v>
      </c>
      <c r="Y19" s="1062">
        <v>62.3</v>
      </c>
      <c r="Z19" s="1062">
        <v>22700</v>
      </c>
      <c r="AA19" s="1062">
        <v>44.4</v>
      </c>
      <c r="AB19" s="1062">
        <v>2970</v>
      </c>
      <c r="AC19" s="1062">
        <v>822</v>
      </c>
      <c r="AD19" s="1062">
        <v>85.1</v>
      </c>
      <c r="AE19" s="1062">
        <v>77.3</v>
      </c>
      <c r="AF19" s="116">
        <v>21.30750605326876</v>
      </c>
      <c r="AG19" s="116">
        <v>36.344827586206883</v>
      </c>
      <c r="AH19" s="116">
        <v>35.494561026270944</v>
      </c>
      <c r="AI19" s="116">
        <v>47.820883116506003</v>
      </c>
    </row>
    <row r="20" spans="1:35">
      <c r="A20" s="1210"/>
      <c r="B20" s="1038">
        <v>41618</v>
      </c>
      <c r="C20" s="116">
        <v>2.77</v>
      </c>
      <c r="D20" s="116">
        <v>77.25</v>
      </c>
      <c r="E20" s="116"/>
      <c r="F20" s="116">
        <v>6.15</v>
      </c>
      <c r="G20" s="116"/>
      <c r="H20" s="116"/>
      <c r="I20" s="116"/>
      <c r="J20" s="116"/>
      <c r="K20" s="116"/>
      <c r="L20" s="1192">
        <v>2.4</v>
      </c>
      <c r="M20" s="1192">
        <v>66.55</v>
      </c>
      <c r="N20" s="1062"/>
      <c r="O20" s="1062"/>
      <c r="P20" s="1062"/>
      <c r="Q20" s="1062"/>
      <c r="R20" s="1062"/>
      <c r="S20" s="1062"/>
      <c r="T20" s="116">
        <v>27.051671732522799</v>
      </c>
      <c r="U20" s="116">
        <v>29.45889387144992</v>
      </c>
      <c r="V20" s="116">
        <v>36.459985783458883</v>
      </c>
      <c r="W20" s="116">
        <v>38.556742934204912</v>
      </c>
      <c r="X20" s="1192">
        <v>2.4900000000000002</v>
      </c>
      <c r="Y20" s="1192">
        <v>61.68</v>
      </c>
      <c r="Z20" s="1062"/>
      <c r="AA20" s="1062"/>
      <c r="AB20" s="1062"/>
      <c r="AC20" s="1062"/>
      <c r="AD20" s="1062"/>
      <c r="AE20" s="1062"/>
      <c r="AF20" s="116">
        <v>24.316109422492396</v>
      </c>
      <c r="AG20" s="116">
        <v>38.42379958246346</v>
      </c>
      <c r="AH20" s="116">
        <v>38.901335390546713</v>
      </c>
      <c r="AI20" s="116">
        <v>50.290298390743239</v>
      </c>
    </row>
    <row r="21" spans="1:35">
      <c r="A21" s="1210"/>
      <c r="B21" s="1038">
        <v>41620</v>
      </c>
      <c r="C21" s="116">
        <v>2.7</v>
      </c>
      <c r="D21" s="116">
        <v>78.400000000000006</v>
      </c>
      <c r="E21" s="116">
        <v>37400</v>
      </c>
      <c r="F21" s="116"/>
      <c r="G21" s="116"/>
      <c r="H21" s="116">
        <v>3459</v>
      </c>
      <c r="I21" s="116"/>
      <c r="J21" s="116"/>
      <c r="K21" s="116"/>
      <c r="L21" s="1062">
        <v>2.2999999999999998</v>
      </c>
      <c r="M21" s="1062">
        <v>67.8</v>
      </c>
      <c r="N21" s="1062">
        <v>23700</v>
      </c>
      <c r="O21" s="1062"/>
      <c r="P21" s="1062"/>
      <c r="Q21" s="1062"/>
      <c r="R21" s="1062"/>
      <c r="S21" s="1062"/>
      <c r="T21" s="116">
        <v>29.230769230769234</v>
      </c>
      <c r="U21" s="116">
        <v>29.049689440993788</v>
      </c>
      <c r="V21" s="116">
        <v>37.810692301710283</v>
      </c>
      <c r="W21" s="116">
        <v>37.651566271345345</v>
      </c>
      <c r="X21" s="1062">
        <v>2.2999999999999998</v>
      </c>
      <c r="Y21" s="1062">
        <v>64.5</v>
      </c>
      <c r="Z21" s="1062">
        <v>22400</v>
      </c>
      <c r="AA21" s="1062"/>
      <c r="AB21" s="1062">
        <v>2765</v>
      </c>
      <c r="AC21" s="1062"/>
      <c r="AD21" s="1062"/>
      <c r="AE21" s="1062"/>
      <c r="AF21" s="116">
        <v>29.230769230769234</v>
      </c>
      <c r="AG21" s="116">
        <v>35.645070422535198</v>
      </c>
      <c r="AH21" s="116">
        <v>40.837605508264183</v>
      </c>
      <c r="AI21" s="116">
        <v>46.19989945114343</v>
      </c>
    </row>
    <row r="22" spans="1:35">
      <c r="A22" s="1210"/>
      <c r="B22" s="1038">
        <v>41625</v>
      </c>
      <c r="C22" s="116">
        <v>2.4900000000000002</v>
      </c>
      <c r="D22" s="116">
        <v>77.400000000000006</v>
      </c>
      <c r="E22" s="116"/>
      <c r="F22" s="116"/>
      <c r="G22" s="116"/>
      <c r="H22" s="116"/>
      <c r="I22" s="116"/>
      <c r="J22" s="116"/>
      <c r="K22" s="116"/>
      <c r="L22" s="1192">
        <v>2.16</v>
      </c>
      <c r="M22" s="1192">
        <v>66.16</v>
      </c>
      <c r="N22" s="1062"/>
      <c r="O22" s="1062"/>
      <c r="P22" s="1062"/>
      <c r="Q22" s="1062"/>
      <c r="R22" s="1062"/>
      <c r="S22" s="1062"/>
      <c r="T22" s="116">
        <v>32.521087160262404</v>
      </c>
      <c r="U22" s="116">
        <v>32.712765957446791</v>
      </c>
      <c r="V22" s="116">
        <v>42.193385038494888</v>
      </c>
      <c r="W22" s="116">
        <v>42.357588964711624</v>
      </c>
      <c r="X22" s="1192">
        <v>2.1800000000000002</v>
      </c>
      <c r="Y22" s="1192">
        <v>64.94</v>
      </c>
      <c r="Z22" s="1062"/>
      <c r="AA22" s="1062"/>
      <c r="AB22" s="1062"/>
      <c r="AC22" s="1062"/>
      <c r="AD22" s="1062"/>
      <c r="AE22" s="1062"/>
      <c r="AF22" s="116">
        <v>31.896282411746316</v>
      </c>
      <c r="AG22" s="116">
        <v>35.054192812321702</v>
      </c>
      <c r="AH22" s="116">
        <v>42.733970993380879</v>
      </c>
      <c r="AI22" s="116">
        <v>45.389347160846455</v>
      </c>
    </row>
    <row r="23" spans="1:35">
      <c r="A23" s="1210"/>
      <c r="B23" s="1038">
        <v>41641</v>
      </c>
      <c r="C23" s="116">
        <v>2.57</v>
      </c>
      <c r="D23" s="116">
        <v>77.31</v>
      </c>
      <c r="E23" s="116"/>
      <c r="F23" s="116">
        <v>5.95</v>
      </c>
      <c r="G23" s="116"/>
      <c r="H23" s="116"/>
      <c r="I23" s="116"/>
      <c r="J23" s="116"/>
      <c r="K23" s="116"/>
      <c r="L23" s="1191">
        <v>2</v>
      </c>
      <c r="M23" s="1191">
        <v>66.819999999999993</v>
      </c>
      <c r="N23" s="1058"/>
      <c r="O23" s="1058"/>
      <c r="P23" s="1058"/>
      <c r="Q23" s="1058"/>
      <c r="R23" s="1058"/>
      <c r="S23" s="1058"/>
      <c r="T23" s="116">
        <v>35.233160621761662</v>
      </c>
      <c r="U23" s="116">
        <v>31.588306208559391</v>
      </c>
      <c r="V23" s="116">
        <v>44.014693118408744</v>
      </c>
      <c r="W23" s="116">
        <v>40.864033076621766</v>
      </c>
      <c r="X23" s="1191">
        <v>2.16</v>
      </c>
      <c r="Y23" s="1191">
        <v>66.92</v>
      </c>
      <c r="Z23" s="1058"/>
      <c r="AA23" s="1058"/>
      <c r="AB23" s="1058"/>
      <c r="AC23" s="1058"/>
      <c r="AD23" s="1058"/>
      <c r="AE23" s="1058"/>
      <c r="AF23" s="116">
        <v>30.051813471502587</v>
      </c>
      <c r="AG23" s="116">
        <v>31.381499395405076</v>
      </c>
      <c r="AH23" s="116">
        <v>39.445380493304782</v>
      </c>
      <c r="AI23" s="116">
        <v>40.596498616324602</v>
      </c>
    </row>
    <row r="24" spans="1:35">
      <c r="A24" s="1210"/>
      <c r="B24" s="1038">
        <v>41648</v>
      </c>
      <c r="C24" s="116">
        <v>1.6</v>
      </c>
      <c r="D24" s="116">
        <v>79.900000000000006</v>
      </c>
      <c r="E24" s="116">
        <v>24500</v>
      </c>
      <c r="F24" s="116"/>
      <c r="G24" s="116">
        <v>31.7</v>
      </c>
      <c r="H24" s="116">
        <v>3025</v>
      </c>
      <c r="I24" s="116">
        <v>1633</v>
      </c>
      <c r="J24" s="116">
        <v>18</v>
      </c>
      <c r="K24" s="116">
        <v>177</v>
      </c>
      <c r="L24" s="1058">
        <v>1.7</v>
      </c>
      <c r="M24" s="1058">
        <v>65.8</v>
      </c>
      <c r="N24" s="1058">
        <v>18000</v>
      </c>
      <c r="O24" s="1058">
        <v>31.4</v>
      </c>
      <c r="P24" s="1058">
        <v>1058</v>
      </c>
      <c r="Q24" s="1058">
        <v>293</v>
      </c>
      <c r="R24" s="1058">
        <v>54</v>
      </c>
      <c r="S24" s="1058">
        <v>175</v>
      </c>
      <c r="T24" s="116">
        <v>41.9002050580998</v>
      </c>
      <c r="U24" s="116">
        <v>34.394736842105232</v>
      </c>
      <c r="V24" s="116">
        <v>50.711466715095689</v>
      </c>
      <c r="W24" s="116">
        <v>44.344258012332219</v>
      </c>
      <c r="X24" s="1058">
        <v>1.7</v>
      </c>
      <c r="Y24" s="1058">
        <v>66</v>
      </c>
      <c r="Z24" s="1058">
        <v>15700</v>
      </c>
      <c r="AA24" s="1058">
        <v>32.799999999999997</v>
      </c>
      <c r="AB24" s="1058">
        <v>2067</v>
      </c>
      <c r="AC24" s="1058">
        <v>434</v>
      </c>
      <c r="AD24" s="1058">
        <v>66</v>
      </c>
      <c r="AE24" s="1058">
        <v>137</v>
      </c>
      <c r="AF24" s="116">
        <v>41.9002050580998</v>
      </c>
      <c r="AG24" s="116">
        <v>34.008823529411728</v>
      </c>
      <c r="AH24" s="116">
        <v>50.561653544016934</v>
      </c>
      <c r="AI24" s="116">
        <v>43.846709809331422</v>
      </c>
    </row>
    <row r="25" spans="1:35">
      <c r="A25" s="1210"/>
      <c r="B25" s="1038">
        <v>41649</v>
      </c>
      <c r="C25" s="116">
        <v>2.1800000000000002</v>
      </c>
      <c r="D25" s="116">
        <v>82.35</v>
      </c>
      <c r="E25" s="116"/>
      <c r="F25" s="116"/>
      <c r="G25" s="116"/>
      <c r="H25" s="116"/>
      <c r="I25" s="116"/>
      <c r="J25" s="116"/>
      <c r="K25" s="116"/>
      <c r="L25" s="1191">
        <v>1.56</v>
      </c>
      <c r="M25" s="1191">
        <v>62.63</v>
      </c>
      <c r="N25" s="1058"/>
      <c r="O25" s="1058"/>
      <c r="P25" s="1058"/>
      <c r="Q25" s="1058"/>
      <c r="R25" s="1058"/>
      <c r="S25" s="1058"/>
      <c r="T25" s="116">
        <v>44.759206798866849</v>
      </c>
      <c r="U25" s="116">
        <v>41.578806529301545</v>
      </c>
      <c r="V25" s="116">
        <v>55.739805570220938</v>
      </c>
      <c r="W25" s="116">
        <v>53.191595703230938</v>
      </c>
      <c r="X25" s="1191">
        <v>1.54</v>
      </c>
      <c r="Y25" s="1191">
        <v>61.21</v>
      </c>
      <c r="Z25" s="1058"/>
      <c r="AA25" s="1058"/>
      <c r="AB25" s="1058"/>
      <c r="AC25" s="1058"/>
      <c r="AD25" s="1058"/>
      <c r="AE25" s="1058"/>
      <c r="AF25" s="116">
        <v>45.467422096317271</v>
      </c>
      <c r="AG25" s="116">
        <v>43.717452951791678</v>
      </c>
      <c r="AH25" s="116">
        <v>57.297882848679514</v>
      </c>
      <c r="AI25" s="116">
        <v>55.92755725078252</v>
      </c>
    </row>
    <row r="26" spans="1:35">
      <c r="A26" s="1210"/>
      <c r="B26" s="1038">
        <v>41653</v>
      </c>
      <c r="C26" s="116">
        <v>2.42</v>
      </c>
      <c r="D26" s="116">
        <v>86.93</v>
      </c>
      <c r="E26" s="116"/>
      <c r="F26" s="116"/>
      <c r="G26" s="116"/>
      <c r="H26" s="116"/>
      <c r="I26" s="116"/>
      <c r="J26" s="116"/>
      <c r="K26" s="116"/>
      <c r="L26" s="1191">
        <v>1.6</v>
      </c>
      <c r="M26" s="1191">
        <v>71.03</v>
      </c>
      <c r="N26" s="1058"/>
      <c r="O26" s="1058"/>
      <c r="P26" s="1058"/>
      <c r="Q26" s="1058"/>
      <c r="R26" s="1058"/>
      <c r="S26" s="1058"/>
      <c r="T26" s="116">
        <v>40.074906367041194</v>
      </c>
      <c r="U26" s="116">
        <v>27.245426303072151</v>
      </c>
      <c r="V26" s="116">
        <v>46.067947230223581</v>
      </c>
      <c r="W26" s="116">
        <v>34.521528962497811</v>
      </c>
      <c r="X26" s="1191">
        <v>1.85</v>
      </c>
      <c r="Y26" s="1191">
        <v>64.709999999999994</v>
      </c>
      <c r="Z26" s="1058"/>
      <c r="AA26" s="1058"/>
      <c r="AB26" s="1058"/>
      <c r="AC26" s="1058"/>
      <c r="AD26" s="1058"/>
      <c r="AE26" s="1058"/>
      <c r="AF26" s="116">
        <v>30.711610486891381</v>
      </c>
      <c r="AG26" s="116">
        <v>40.274865400963463</v>
      </c>
      <c r="AH26" s="116">
        <v>43.189543157339962</v>
      </c>
      <c r="AI26" s="116">
        <v>51.030580947206097</v>
      </c>
    </row>
    <row r="27" spans="1:35">
      <c r="A27" s="1210"/>
      <c r="B27" s="1038">
        <v>41660</v>
      </c>
      <c r="C27" s="116">
        <v>3.2166739883828783</v>
      </c>
      <c r="D27" s="116">
        <v>74.962063732928613</v>
      </c>
      <c r="E27" s="116"/>
      <c r="F27" s="116"/>
      <c r="G27" s="116"/>
      <c r="H27" s="116"/>
      <c r="I27" s="116"/>
      <c r="J27" s="116"/>
      <c r="K27" s="116"/>
      <c r="L27" s="1193">
        <v>1.7654315735738313</v>
      </c>
      <c r="M27" s="1193">
        <v>66.265060240963763</v>
      </c>
      <c r="N27" s="1058"/>
      <c r="O27" s="1058"/>
      <c r="P27" s="1058"/>
      <c r="Q27" s="1058"/>
      <c r="R27" s="1058"/>
      <c r="S27" s="1058"/>
      <c r="T27" s="116">
        <v>32.659971499202051</v>
      </c>
      <c r="U27" s="116">
        <v>37.006576035118265</v>
      </c>
      <c r="V27" s="116">
        <v>43.335415672875364</v>
      </c>
      <c r="W27" s="116">
        <v>46.992951090449004</v>
      </c>
      <c r="X27" s="1193">
        <v>1.7382906808305199</v>
      </c>
      <c r="Y27" s="1193">
        <v>64.898989898989598</v>
      </c>
      <c r="Z27" s="1058"/>
      <c r="AA27" s="1058"/>
      <c r="AB27" s="1058"/>
      <c r="AC27" s="1058"/>
      <c r="AD27" s="1058"/>
      <c r="AE27" s="1058"/>
      <c r="AF27" s="116">
        <v>33.695224588718212</v>
      </c>
      <c r="AG27" s="116">
        <v>39.458170674993099</v>
      </c>
      <c r="AH27" s="116">
        <v>45.356745193423095</v>
      </c>
      <c r="AI27" s="116">
        <v>50.106118514960698</v>
      </c>
    </row>
    <row r="28" spans="1:35">
      <c r="A28" s="1210"/>
      <c r="B28" s="1038">
        <v>41662</v>
      </c>
      <c r="C28" s="116">
        <v>3.1</v>
      </c>
      <c r="D28" s="116">
        <v>77.099999999999994</v>
      </c>
      <c r="E28" s="116">
        <v>37400</v>
      </c>
      <c r="F28" s="116"/>
      <c r="G28" s="116">
        <v>41.1</v>
      </c>
      <c r="H28" s="116">
        <v>4165</v>
      </c>
      <c r="I28" s="116">
        <v>1991</v>
      </c>
      <c r="J28" s="116">
        <v>27.8</v>
      </c>
      <c r="K28" s="116">
        <v>158</v>
      </c>
      <c r="L28" s="1058">
        <v>1.7</v>
      </c>
      <c r="M28" s="1058">
        <v>64.099999999999994</v>
      </c>
      <c r="N28" s="1058">
        <v>17600</v>
      </c>
      <c r="O28" s="1058">
        <v>35.299999999999997</v>
      </c>
      <c r="P28" s="1058">
        <v>1028</v>
      </c>
      <c r="Q28" s="1058">
        <v>304</v>
      </c>
      <c r="R28" s="1058">
        <v>57.7</v>
      </c>
      <c r="S28" s="1058">
        <v>167</v>
      </c>
      <c r="T28" s="116">
        <v>34.982170169891582</v>
      </c>
      <c r="U28" s="116">
        <v>40.724808839255864</v>
      </c>
      <c r="V28" s="116">
        <v>47.057520754621763</v>
      </c>
      <c r="W28" s="116">
        <v>51.733615440663321</v>
      </c>
      <c r="X28" s="1058">
        <v>1.6</v>
      </c>
      <c r="Y28" s="1058">
        <v>64.400000000000006</v>
      </c>
      <c r="Z28" s="1058">
        <v>18400</v>
      </c>
      <c r="AA28" s="1058">
        <v>35.799999999999997</v>
      </c>
      <c r="AB28" s="1058">
        <v>1845</v>
      </c>
      <c r="AC28" s="1058">
        <v>480</v>
      </c>
      <c r="AD28" s="1058">
        <v>64.3</v>
      </c>
      <c r="AE28" s="1058">
        <v>137</v>
      </c>
      <c r="AF28" s="116">
        <v>38.806748395192074</v>
      </c>
      <c r="AG28" s="116">
        <v>40.225298801384412</v>
      </c>
      <c r="AH28" s="116">
        <v>49.9385788616704</v>
      </c>
      <c r="AI28" s="116">
        <v>51.09907691379162</v>
      </c>
    </row>
    <row r="29" spans="1:35">
      <c r="A29" s="1210"/>
      <c r="B29" s="1038">
        <v>41667</v>
      </c>
      <c r="C29" s="116">
        <v>2.4396013839193307</v>
      </c>
      <c r="D29" s="116">
        <v>79.030303030303159</v>
      </c>
      <c r="E29" s="116"/>
      <c r="F29" s="116"/>
      <c r="G29" s="116"/>
      <c r="H29" s="116"/>
      <c r="I29" s="116"/>
      <c r="J29" s="116"/>
      <c r="K29" s="116"/>
      <c r="L29" s="1193">
        <v>1.5305101700566868</v>
      </c>
      <c r="M29" s="1193">
        <v>65.795206971677743</v>
      </c>
      <c r="N29" s="1058"/>
      <c r="O29" s="1058"/>
      <c r="P29" s="1058"/>
      <c r="Q29" s="1058"/>
      <c r="R29" s="1058"/>
      <c r="S29" s="1058"/>
      <c r="T29" s="116">
        <v>39.947671925415833</v>
      </c>
      <c r="U29" s="116">
        <v>38.789972193836164</v>
      </c>
      <c r="V29" s="116">
        <v>50.025378154274321</v>
      </c>
      <c r="W29" s="116">
        <v>49.061958281114087</v>
      </c>
      <c r="X29" s="1193">
        <v>1.6575653444361831</v>
      </c>
      <c r="Y29" s="1193">
        <v>66.798418972332456</v>
      </c>
      <c r="Z29" s="1058"/>
      <c r="AA29" s="1058"/>
      <c r="AB29" s="1058"/>
      <c r="AC29" s="1058"/>
      <c r="AD29" s="1058"/>
      <c r="AE29" s="1058"/>
      <c r="AF29" s="116">
        <v>34.962432908592824</v>
      </c>
      <c r="AG29" s="116">
        <v>36.940462846543909</v>
      </c>
      <c r="AH29" s="116">
        <v>45.051495003947828</v>
      </c>
      <c r="AI29" s="116">
        <v>46.722679717470214</v>
      </c>
    </row>
    <row r="30" spans="1:35">
      <c r="A30" s="1210"/>
      <c r="B30" s="1038">
        <v>41676</v>
      </c>
      <c r="C30" s="116">
        <v>2.7183616951499499</v>
      </c>
      <c r="D30" s="116">
        <v>73.994638069705161</v>
      </c>
      <c r="E30" s="116"/>
      <c r="F30" s="116">
        <v>6.76</v>
      </c>
      <c r="G30" s="116"/>
      <c r="H30" s="116"/>
      <c r="I30" s="116"/>
      <c r="J30" s="116"/>
      <c r="K30" s="116"/>
      <c r="L30" s="1193">
        <v>1.6249044765313891</v>
      </c>
      <c r="M30" s="1193">
        <v>65.099009900990112</v>
      </c>
      <c r="N30" s="1058"/>
      <c r="O30" s="1058"/>
      <c r="P30" s="1058"/>
      <c r="Q30" s="1058"/>
      <c r="R30" s="1058"/>
      <c r="S30" s="1058"/>
      <c r="T30" s="116">
        <v>36.114501173255412</v>
      </c>
      <c r="U30" s="116">
        <v>39.078234008869806</v>
      </c>
      <c r="V30" s="116">
        <v>47.180541276610477</v>
      </c>
      <c r="W30" s="116">
        <v>49.630905867210728</v>
      </c>
      <c r="X30" s="1193">
        <v>1.6615941432919275</v>
      </c>
      <c r="Y30" s="1193">
        <v>63.366336633663551</v>
      </c>
      <c r="Z30" s="1058"/>
      <c r="AA30" s="1058"/>
      <c r="AB30" s="1058"/>
      <c r="AC30" s="1058"/>
      <c r="AD30" s="1058"/>
      <c r="AE30" s="1058"/>
      <c r="AF30" s="116">
        <v>34.671993200240578</v>
      </c>
      <c r="AG30" s="116">
        <v>41.959668886828403</v>
      </c>
      <c r="AH30" s="116">
        <v>47.425484296964662</v>
      </c>
      <c r="AI30" s="116">
        <v>53.290442353890278</v>
      </c>
    </row>
    <row r="31" spans="1:35">
      <c r="A31" s="1210"/>
      <c r="B31" s="1038">
        <v>41680</v>
      </c>
      <c r="C31" s="116">
        <v>2.8</v>
      </c>
      <c r="D31" s="116">
        <v>80.7</v>
      </c>
      <c r="E31" s="116">
        <v>41500</v>
      </c>
      <c r="F31" s="116"/>
      <c r="G31" s="116">
        <v>42</v>
      </c>
      <c r="H31" s="116">
        <v>3914</v>
      </c>
      <c r="I31" s="116">
        <v>1907</v>
      </c>
      <c r="J31" s="116">
        <v>39.200000000000003</v>
      </c>
      <c r="K31" s="116">
        <v>171</v>
      </c>
      <c r="L31" s="1058">
        <v>1.6</v>
      </c>
      <c r="M31" s="1058">
        <v>65</v>
      </c>
      <c r="N31" s="1058">
        <v>17700</v>
      </c>
      <c r="O31" s="1058">
        <v>34.4</v>
      </c>
      <c r="P31" s="1058">
        <v>777</v>
      </c>
      <c r="Q31" s="1058">
        <v>175</v>
      </c>
      <c r="R31" s="1058">
        <v>50.6</v>
      </c>
      <c r="S31" s="1058">
        <v>198</v>
      </c>
      <c r="T31" s="116">
        <v>37.340014045492453</v>
      </c>
      <c r="U31" s="116">
        <v>39.907715666553379</v>
      </c>
      <c r="V31" s="116">
        <v>48.423227951222302</v>
      </c>
      <c r="W31" s="116">
        <v>50.536757968526913</v>
      </c>
      <c r="X31" s="1058">
        <v>1.7</v>
      </c>
      <c r="Y31" s="1058">
        <v>64.400000000000006</v>
      </c>
      <c r="Z31" s="1058">
        <v>17600</v>
      </c>
      <c r="AA31" s="1058">
        <v>35.4</v>
      </c>
      <c r="AB31" s="1058">
        <v>1815</v>
      </c>
      <c r="AC31" s="1058">
        <v>375</v>
      </c>
      <c r="AD31" s="1058">
        <v>62.4</v>
      </c>
      <c r="AE31" s="1058">
        <v>104</v>
      </c>
      <c r="AF31" s="116">
        <v>33.423764923335732</v>
      </c>
      <c r="AG31" s="116">
        <v>40.920506975544043</v>
      </c>
      <c r="AH31" s="116">
        <v>45.705528808652097</v>
      </c>
      <c r="AI31" s="116">
        <v>51.819296655600525</v>
      </c>
    </row>
    <row r="32" spans="1:35">
      <c r="A32" s="1210"/>
      <c r="B32" s="1038">
        <v>41683</v>
      </c>
      <c r="C32" s="116">
        <v>2.8</v>
      </c>
      <c r="D32" s="116">
        <v>75.599999999999994</v>
      </c>
      <c r="E32" s="116">
        <v>38700</v>
      </c>
      <c r="F32" s="116"/>
      <c r="G32" s="116"/>
      <c r="H32" s="116">
        <v>5654</v>
      </c>
      <c r="I32" s="116"/>
      <c r="J32" s="116"/>
      <c r="K32" s="116"/>
      <c r="L32" s="1058">
        <v>1.7</v>
      </c>
      <c r="M32" s="1058">
        <v>65.099999999999994</v>
      </c>
      <c r="N32" s="1058">
        <v>19900</v>
      </c>
      <c r="O32" s="1058"/>
      <c r="P32" s="1058">
        <v>1701</v>
      </c>
      <c r="Q32" s="1058"/>
      <c r="R32" s="1058"/>
      <c r="S32" s="1058"/>
      <c r="T32" s="116">
        <v>34.22233032086487</v>
      </c>
      <c r="U32" s="116">
        <v>39.219772158434651</v>
      </c>
      <c r="V32" s="116">
        <v>45.649812472700766</v>
      </c>
      <c r="W32" s="116">
        <v>49.779054240516764</v>
      </c>
      <c r="X32" s="1058">
        <v>1.7</v>
      </c>
      <c r="Y32" s="1058">
        <v>64.5</v>
      </c>
      <c r="Z32" s="1058">
        <v>16900</v>
      </c>
      <c r="AA32" s="1058"/>
      <c r="AB32" s="1058">
        <v>1929</v>
      </c>
      <c r="AC32" s="1058"/>
      <c r="AD32" s="1058"/>
      <c r="AE32" s="1058"/>
      <c r="AF32" s="116">
        <v>34.22233032086487</v>
      </c>
      <c r="AG32" s="116">
        <v>40.247043614911803</v>
      </c>
      <c r="AH32" s="116">
        <v>46.150735860049139</v>
      </c>
      <c r="AI32" s="116">
        <v>51.082901732162966</v>
      </c>
    </row>
    <row r="33" spans="1:35">
      <c r="A33" s="1210"/>
      <c r="B33" s="1038">
        <v>41684</v>
      </c>
      <c r="C33" s="116">
        <v>3.5169065220244047</v>
      </c>
      <c r="D33" s="116">
        <v>73.631840796019816</v>
      </c>
      <c r="E33" s="116"/>
      <c r="F33" s="116"/>
      <c r="G33" s="116"/>
      <c r="H33" s="116"/>
      <c r="I33" s="116"/>
      <c r="J33" s="116"/>
      <c r="K33" s="116"/>
      <c r="L33" s="1194">
        <v>1.7250279617998878</v>
      </c>
      <c r="M33" s="1194">
        <v>65.09</v>
      </c>
      <c r="N33" s="1058"/>
      <c r="O33" s="1058"/>
      <c r="P33" s="1058"/>
      <c r="Q33" s="1058"/>
      <c r="R33" s="1058"/>
      <c r="S33" s="1058"/>
      <c r="T33" s="116">
        <v>35.612968471235817</v>
      </c>
      <c r="U33" s="116">
        <v>38.183570790305566</v>
      </c>
      <c r="V33" s="116">
        <v>46.557535686679564</v>
      </c>
      <c r="W33" s="116">
        <v>48.691184644222361</v>
      </c>
      <c r="X33" s="1193">
        <v>1.7484042342306609</v>
      </c>
      <c r="Y33" s="1193">
        <v>64.625850340135969</v>
      </c>
      <c r="Z33" s="1058"/>
      <c r="AA33" s="1058"/>
      <c r="AB33" s="1058"/>
      <c r="AC33" s="1058"/>
      <c r="AD33" s="1058"/>
      <c r="AE33" s="1058"/>
      <c r="AF33" s="116">
        <v>34.740444185626721</v>
      </c>
      <c r="AG33" s="116">
        <v>38.994673668185996</v>
      </c>
      <c r="AH33" s="116">
        <v>46.219580520539004</v>
      </c>
      <c r="AI33" s="116">
        <v>49.725492310449418</v>
      </c>
    </row>
    <row r="34" spans="1:35">
      <c r="A34" s="1210"/>
      <c r="B34" s="1038">
        <v>41690</v>
      </c>
      <c r="C34" s="116">
        <v>3.061101028433153</v>
      </c>
      <c r="D34" s="116">
        <v>72.068511198945941</v>
      </c>
      <c r="E34" s="116">
        <v>33100</v>
      </c>
      <c r="F34" s="116"/>
      <c r="G34" s="116">
        <v>36.200000000000003</v>
      </c>
      <c r="H34" s="116">
        <v>4612</v>
      </c>
      <c r="I34" s="116">
        <v>2291</v>
      </c>
      <c r="J34" s="116">
        <v>33.6</v>
      </c>
      <c r="K34" s="116">
        <v>170</v>
      </c>
      <c r="L34" s="1194">
        <v>1.7417128180431831</v>
      </c>
      <c r="M34" s="1194">
        <v>65.898617511520996</v>
      </c>
      <c r="N34" s="1058">
        <v>20600</v>
      </c>
      <c r="O34" s="1058">
        <v>29.5</v>
      </c>
      <c r="P34" s="1058">
        <v>1323</v>
      </c>
      <c r="Q34" s="1058">
        <v>409</v>
      </c>
      <c r="R34" s="1058">
        <v>59.2</v>
      </c>
      <c r="S34" s="1058">
        <v>147</v>
      </c>
      <c r="T34" s="116">
        <v>38.3522200629994</v>
      </c>
      <c r="U34" s="116">
        <v>34.421238421154719</v>
      </c>
      <c r="V34" s="116">
        <v>47.672922685705402</v>
      </c>
      <c r="W34" s="116">
        <v>44.336277302788346</v>
      </c>
      <c r="X34" s="1193">
        <v>1.7772192801364239</v>
      </c>
      <c r="Y34" s="1193">
        <v>63.636363636363505</v>
      </c>
      <c r="Z34" s="1058">
        <v>18500</v>
      </c>
      <c r="AA34" s="1058">
        <v>27.5</v>
      </c>
      <c r="AB34" s="1058">
        <v>1825</v>
      </c>
      <c r="AC34" s="1058">
        <v>407</v>
      </c>
      <c r="AD34" s="1058">
        <v>68.2</v>
      </c>
      <c r="AE34" s="1058">
        <v>115</v>
      </c>
      <c r="AF34" s="116">
        <v>37.095471798423382</v>
      </c>
      <c r="AG34" s="116">
        <v>38.501023127673442</v>
      </c>
      <c r="AH34" s="116">
        <v>48.439158398351346</v>
      </c>
      <c r="AI34" s="116">
        <v>49.591244130847656</v>
      </c>
    </row>
    <row r="35" spans="1:35">
      <c r="A35" s="1210"/>
      <c r="B35" s="1038">
        <v>41692</v>
      </c>
      <c r="C35" s="116">
        <v>3.0260108163790904</v>
      </c>
      <c r="D35" s="116">
        <v>73.085106382978722</v>
      </c>
      <c r="E35" s="116"/>
      <c r="F35" s="116"/>
      <c r="G35" s="116"/>
      <c r="H35" s="116"/>
      <c r="I35" s="116"/>
      <c r="J35" s="116"/>
      <c r="K35" s="116"/>
      <c r="L35" s="1194">
        <v>1.7545547857326145</v>
      </c>
      <c r="M35" s="1194">
        <v>65.447897623400081</v>
      </c>
      <c r="N35" s="1058"/>
      <c r="O35" s="1058"/>
      <c r="P35" s="1058"/>
      <c r="Q35" s="1058"/>
      <c r="R35" s="1058"/>
      <c r="S35" s="1058"/>
      <c r="T35" s="116">
        <v>39.703235096384894</v>
      </c>
      <c r="U35" s="116">
        <v>32.595263162091612</v>
      </c>
      <c r="V35" s="116">
        <v>48.555809872961362</v>
      </c>
      <c r="W35" s="116">
        <v>42.491407243899005</v>
      </c>
      <c r="X35" s="1193">
        <v>1.7245501823181248</v>
      </c>
      <c r="Y35" s="1193">
        <v>64.991334488735049</v>
      </c>
      <c r="Z35" s="1058"/>
      <c r="AA35" s="1058"/>
      <c r="AB35" s="1058"/>
      <c r="AC35" s="1058"/>
      <c r="AD35" s="1058"/>
      <c r="AE35" s="1058"/>
      <c r="AF35" s="116">
        <v>40.734368767913004</v>
      </c>
      <c r="AG35" s="116">
        <v>33.474317461721647</v>
      </c>
      <c r="AH35" s="116">
        <v>49.788292336225794</v>
      </c>
      <c r="AI35" s="116">
        <v>43.637348420975336</v>
      </c>
    </row>
    <row r="36" spans="1:35">
      <c r="A36" s="1210"/>
      <c r="B36" s="1038">
        <v>41697</v>
      </c>
      <c r="C36" s="116">
        <v>2.9</v>
      </c>
      <c r="D36" s="116">
        <v>75.599999999999994</v>
      </c>
      <c r="E36" s="116">
        <v>38700</v>
      </c>
      <c r="F36" s="116"/>
      <c r="G36" s="116"/>
      <c r="H36" s="116">
        <v>5820</v>
      </c>
      <c r="I36" s="116"/>
      <c r="J36" s="116"/>
      <c r="K36" s="116"/>
      <c r="L36" s="1058">
        <v>1.8</v>
      </c>
      <c r="M36" s="1058">
        <v>63.4</v>
      </c>
      <c r="N36" s="1058">
        <v>20000</v>
      </c>
      <c r="O36" s="1058"/>
      <c r="P36" s="1058">
        <v>1295</v>
      </c>
      <c r="Q36" s="1058"/>
      <c r="R36" s="1058"/>
      <c r="S36" s="1058"/>
      <c r="T36" s="116">
        <v>39.145306858223002</v>
      </c>
      <c r="U36" s="116">
        <v>33.271164811716268</v>
      </c>
      <c r="V36" s="116">
        <v>48.950408582005714</v>
      </c>
      <c r="W36" s="116">
        <v>44.022726986326688</v>
      </c>
      <c r="X36" s="1058">
        <v>1.8</v>
      </c>
      <c r="Y36" s="1058">
        <v>62.2</v>
      </c>
      <c r="Z36" s="1058">
        <v>18000</v>
      </c>
      <c r="AA36" s="1058"/>
      <c r="AB36" s="1058">
        <v>2338</v>
      </c>
      <c r="AC36" s="1058"/>
      <c r="AD36" s="1058"/>
      <c r="AE36" s="1058"/>
      <c r="AF36" s="116">
        <v>39.145306858223002</v>
      </c>
      <c r="AG36" s="116">
        <v>35.389540531979236</v>
      </c>
      <c r="AH36" s="116">
        <v>49.916646905374684</v>
      </c>
      <c r="AI36" s="116">
        <v>46.825654882459737</v>
      </c>
    </row>
    <row r="37" spans="1:35">
      <c r="A37" s="1210"/>
      <c r="B37" s="1038">
        <v>41704</v>
      </c>
      <c r="C37" s="116">
        <v>2.4</v>
      </c>
      <c r="D37" s="116">
        <v>76</v>
      </c>
      <c r="E37" s="116">
        <v>32100</v>
      </c>
      <c r="F37" s="116"/>
      <c r="G37" s="116">
        <v>34.299999999999997</v>
      </c>
      <c r="H37" s="116">
        <v>3743</v>
      </c>
      <c r="I37" s="116">
        <v>1960</v>
      </c>
      <c r="J37" s="116">
        <v>31</v>
      </c>
      <c r="K37" s="116">
        <v>252</v>
      </c>
      <c r="L37" s="1058">
        <v>1.8</v>
      </c>
      <c r="M37" s="1058">
        <v>64.5</v>
      </c>
      <c r="N37" s="1058">
        <v>18200</v>
      </c>
      <c r="O37" s="1058">
        <v>26.4</v>
      </c>
      <c r="P37" s="1058">
        <v>1322</v>
      </c>
      <c r="Q37" s="1058">
        <v>345</v>
      </c>
      <c r="R37" s="1058">
        <v>66</v>
      </c>
      <c r="S37" s="1058">
        <v>191</v>
      </c>
      <c r="T37" s="116">
        <v>37.417385398660791</v>
      </c>
      <c r="U37" s="116">
        <v>31.495887176888125</v>
      </c>
      <c r="V37" s="116">
        <v>46.663277294143846</v>
      </c>
      <c r="W37" s="116">
        <v>41.616615203245047</v>
      </c>
      <c r="X37" s="1058">
        <v>1.8</v>
      </c>
      <c r="Y37" s="1058">
        <v>64.099999999999994</v>
      </c>
      <c r="Z37" s="1058">
        <v>17800</v>
      </c>
      <c r="AA37" s="1058">
        <v>29.5</v>
      </c>
      <c r="AB37" s="1058">
        <v>2379</v>
      </c>
      <c r="AC37" s="1058">
        <v>659</v>
      </c>
      <c r="AD37" s="1058">
        <v>66</v>
      </c>
      <c r="AE37" s="1058">
        <v>150</v>
      </c>
      <c r="AF37" s="116">
        <v>37.417385398660791</v>
      </c>
      <c r="AG37" s="116">
        <v>32.259164199986877</v>
      </c>
      <c r="AH37" s="116">
        <v>46.994047667513506</v>
      </c>
      <c r="AI37" s="116">
        <v>42.625159778775789</v>
      </c>
    </row>
    <row r="38" spans="1:35">
      <c r="A38" s="1210"/>
      <c r="B38" s="1038">
        <v>41705</v>
      </c>
      <c r="C38" s="116">
        <v>2.5455435504737931</v>
      </c>
      <c r="D38" s="116">
        <v>73.351648351648379</v>
      </c>
      <c r="E38" s="116"/>
      <c r="F38" s="116">
        <v>6.61</v>
      </c>
      <c r="G38" s="116"/>
      <c r="H38" s="116"/>
      <c r="I38" s="116"/>
      <c r="J38" s="116"/>
      <c r="K38" s="116"/>
      <c r="L38" s="1194">
        <v>1.7813078346699585</v>
      </c>
      <c r="M38" s="1194">
        <v>64.935064935064872</v>
      </c>
      <c r="N38" s="1058"/>
      <c r="O38" s="1058"/>
      <c r="P38" s="1058"/>
      <c r="Q38" s="1058"/>
      <c r="R38" s="1058"/>
      <c r="S38" s="1058"/>
      <c r="T38" s="116">
        <v>36.849906721749633</v>
      </c>
      <c r="U38" s="116">
        <v>29.576954381034547</v>
      </c>
      <c r="V38" s="116">
        <v>45.546911844819661</v>
      </c>
      <c r="W38" s="116">
        <v>39.275587537943572</v>
      </c>
      <c r="X38" s="1194">
        <v>1.8382789905312844</v>
      </c>
      <c r="Y38" s="1194">
        <v>64.008620689654947</v>
      </c>
      <c r="Z38" s="1058"/>
      <c r="AA38" s="1058"/>
      <c r="AB38" s="1058"/>
      <c r="AC38" s="1058"/>
      <c r="AD38" s="1058"/>
      <c r="AE38" s="1058"/>
      <c r="AF38" s="116">
        <v>34.830191916262876</v>
      </c>
      <c r="AG38" s="116">
        <v>31.389694726308793</v>
      </c>
      <c r="AH38" s="116">
        <v>44.607093956308006</v>
      </c>
      <c r="AI38" s="116">
        <v>41.68274688224826</v>
      </c>
    </row>
    <row r="39" spans="1:35">
      <c r="A39" s="1210"/>
      <c r="B39" s="1038">
        <v>41711</v>
      </c>
      <c r="C39" s="116">
        <v>3.2</v>
      </c>
      <c r="D39" s="116">
        <v>77.8</v>
      </c>
      <c r="E39" s="116">
        <v>42200</v>
      </c>
      <c r="F39" s="116">
        <v>6.05</v>
      </c>
      <c r="G39" s="116"/>
      <c r="H39" s="116">
        <v>6100</v>
      </c>
      <c r="I39" s="116"/>
      <c r="J39" s="116"/>
      <c r="K39" s="116"/>
      <c r="L39" s="1058">
        <v>1.8</v>
      </c>
      <c r="M39" s="1058">
        <v>64.3</v>
      </c>
      <c r="N39" s="1058">
        <v>21200</v>
      </c>
      <c r="O39" s="1058"/>
      <c r="P39" s="1058">
        <v>1404</v>
      </c>
      <c r="Q39" s="1058"/>
      <c r="R39" s="1058"/>
      <c r="S39" s="1058"/>
      <c r="T39" s="116">
        <v>37.862305076441856</v>
      </c>
      <c r="U39" s="116">
        <v>30.485082576834234</v>
      </c>
      <c r="V39" s="116">
        <v>46.857075253567849</v>
      </c>
      <c r="W39" s="116">
        <v>40.547745938783464</v>
      </c>
      <c r="X39" s="1058">
        <v>1.8</v>
      </c>
      <c r="Y39" s="1058">
        <v>63.6</v>
      </c>
      <c r="Z39" s="1058">
        <v>18300</v>
      </c>
      <c r="AA39" s="1058"/>
      <c r="AB39" s="1058">
        <v>2501</v>
      </c>
      <c r="AC39" s="1058"/>
      <c r="AD39" s="1058"/>
      <c r="AE39" s="1058"/>
      <c r="AF39" s="116">
        <v>37.862305076441856</v>
      </c>
      <c r="AG39" s="116">
        <v>31.821907911895096</v>
      </c>
      <c r="AH39" s="116">
        <v>47.435614092175967</v>
      </c>
      <c r="AI39" s="116">
        <v>42.325837040028119</v>
      </c>
    </row>
    <row r="40" spans="1:35">
      <c r="A40" s="1210"/>
      <c r="B40" s="1038">
        <v>41718</v>
      </c>
      <c r="C40" s="116">
        <v>3.4</v>
      </c>
      <c r="D40" s="116">
        <v>78.900000000000006</v>
      </c>
      <c r="E40" s="116">
        <v>42100</v>
      </c>
      <c r="F40" s="116"/>
      <c r="G40" s="116">
        <v>43.8</v>
      </c>
      <c r="H40" s="116">
        <v>3602</v>
      </c>
      <c r="I40" s="116">
        <v>1475</v>
      </c>
      <c r="J40" s="116">
        <v>19.8</v>
      </c>
      <c r="K40" s="116">
        <v>213</v>
      </c>
      <c r="L40" s="1058">
        <v>1.9</v>
      </c>
      <c r="M40" s="1058">
        <v>65.3</v>
      </c>
      <c r="N40" s="1058">
        <v>22200</v>
      </c>
      <c r="O40" s="1058">
        <v>31.9</v>
      </c>
      <c r="P40" s="1058">
        <v>1361</v>
      </c>
      <c r="Q40" s="1058">
        <v>334</v>
      </c>
      <c r="R40" s="1058">
        <v>59.6</v>
      </c>
      <c r="S40" s="1058">
        <v>209</v>
      </c>
      <c r="T40" s="116">
        <v>35.918108830784632</v>
      </c>
      <c r="U40" s="116">
        <v>29.895419806799104</v>
      </c>
      <c r="V40" s="116">
        <v>44.702757983757238</v>
      </c>
      <c r="W40" s="116">
        <v>39.505687696482589</v>
      </c>
      <c r="X40" s="1058">
        <v>1.8</v>
      </c>
      <c r="Y40" s="1058">
        <v>63.5</v>
      </c>
      <c r="Z40" s="1058">
        <v>17800</v>
      </c>
      <c r="AA40" s="1058">
        <v>29.8</v>
      </c>
      <c r="AB40" s="1058">
        <v>2140</v>
      </c>
      <c r="AC40" s="1058">
        <v>411</v>
      </c>
      <c r="AD40" s="1058">
        <v>71.400000000000006</v>
      </c>
      <c r="AE40" s="1058">
        <v>158</v>
      </c>
      <c r="AF40" s="116">
        <v>39.290839944953866</v>
      </c>
      <c r="AG40" s="116">
        <v>33.352631980710377</v>
      </c>
      <c r="AH40" s="116">
        <v>49.057187374413246</v>
      </c>
      <c r="AI40" s="116">
        <v>44.074265268755177</v>
      </c>
    </row>
    <row r="41" spans="1:35">
      <c r="A41" s="1210"/>
      <c r="B41" s="1038">
        <v>41723</v>
      </c>
      <c r="C41" s="116">
        <v>3.0945510810019679</v>
      </c>
      <c r="D41" s="116">
        <v>72.972972972972997</v>
      </c>
      <c r="E41" s="116"/>
      <c r="F41" s="116">
        <v>5.99</v>
      </c>
      <c r="G41" s="116"/>
      <c r="H41" s="116"/>
      <c r="I41" s="116"/>
      <c r="J41" s="116"/>
      <c r="K41" s="116"/>
      <c r="L41" s="1194">
        <v>1.7950575545359444</v>
      </c>
      <c r="M41" s="1194">
        <v>63.901345291479579</v>
      </c>
      <c r="N41" s="1058"/>
      <c r="O41" s="1058"/>
      <c r="P41" s="1058"/>
      <c r="Q41" s="1058"/>
      <c r="R41" s="1058"/>
      <c r="S41" s="1058"/>
      <c r="T41" s="116">
        <v>40.053073048545123</v>
      </c>
      <c r="U41" s="116">
        <v>30.47111524679821</v>
      </c>
      <c r="V41" s="116">
        <v>48.856639154853568</v>
      </c>
      <c r="W41" s="116">
        <v>40.681849380315924</v>
      </c>
      <c r="X41" s="1193">
        <v>1.6984725407128161</v>
      </c>
      <c r="Y41" s="1193">
        <v>63.615560640732227</v>
      </c>
      <c r="Z41" s="1058"/>
      <c r="AA41" s="1058"/>
      <c r="AB41" s="1058"/>
      <c r="AC41" s="1058"/>
      <c r="AD41" s="1058"/>
      <c r="AE41" s="1058"/>
      <c r="AF41" s="116">
        <v>43.278582310701985</v>
      </c>
      <c r="AG41" s="116">
        <v>31.017235742151826</v>
      </c>
      <c r="AH41" s="116">
        <v>51.824883477205908</v>
      </c>
      <c r="AI41" s="116">
        <v>41.410972405696945</v>
      </c>
    </row>
    <row r="42" spans="1:35">
      <c r="A42" s="1210"/>
      <c r="B42" s="1038">
        <v>41725</v>
      </c>
      <c r="C42" s="116">
        <v>2.6</v>
      </c>
      <c r="D42" s="116">
        <v>77.7</v>
      </c>
      <c r="E42" s="116">
        <v>34900</v>
      </c>
      <c r="F42" s="116"/>
      <c r="G42" s="116"/>
      <c r="H42" s="116">
        <v>5861</v>
      </c>
      <c r="I42" s="116"/>
      <c r="J42" s="116"/>
      <c r="K42" s="116"/>
      <c r="L42" s="1058">
        <v>1.9</v>
      </c>
      <c r="M42" s="1058">
        <v>64.8</v>
      </c>
      <c r="N42" s="1058">
        <v>19700</v>
      </c>
      <c r="O42" s="1058"/>
      <c r="P42" s="1058">
        <v>1032</v>
      </c>
      <c r="Q42" s="1058"/>
      <c r="R42" s="1058"/>
      <c r="S42" s="1058"/>
      <c r="T42" s="116">
        <v>36.121813412025418</v>
      </c>
      <c r="U42" s="116">
        <v>29.292636279138062</v>
      </c>
      <c r="V42" s="116">
        <v>44.890814239373711</v>
      </c>
      <c r="W42" s="116">
        <v>38.999125521971067</v>
      </c>
      <c r="X42" s="1058">
        <v>1.9</v>
      </c>
      <c r="Y42" s="1058">
        <v>62.5</v>
      </c>
      <c r="Z42" s="1058">
        <v>22300</v>
      </c>
      <c r="AA42" s="1058"/>
      <c r="AB42" s="1058">
        <v>2043</v>
      </c>
      <c r="AC42" s="1058"/>
      <c r="AD42" s="1058"/>
      <c r="AE42" s="1058"/>
      <c r="AF42" s="116">
        <v>36.121813412025418</v>
      </c>
      <c r="AG42" s="116">
        <v>33.62935458735091</v>
      </c>
      <c r="AH42" s="116">
        <v>46.846850153716922</v>
      </c>
      <c r="AI42" s="116">
        <v>44.772870842936761</v>
      </c>
    </row>
    <row r="43" spans="1:35">
      <c r="A43" s="1211"/>
      <c r="B43" s="1038">
        <v>41733</v>
      </c>
      <c r="C43" s="116">
        <v>2.2000000000000002</v>
      </c>
      <c r="D43" s="116">
        <v>78.3</v>
      </c>
      <c r="E43" s="116">
        <v>26800</v>
      </c>
      <c r="F43" s="116"/>
      <c r="G43" s="116">
        <v>42.2</v>
      </c>
      <c r="H43" s="116">
        <v>4058</v>
      </c>
      <c r="I43" s="116">
        <v>2166</v>
      </c>
      <c r="J43" s="116">
        <v>33.1</v>
      </c>
      <c r="K43" s="116">
        <v>22</v>
      </c>
      <c r="L43" s="1058">
        <v>1.9</v>
      </c>
      <c r="M43" s="1058">
        <v>65.8</v>
      </c>
      <c r="N43" s="1058">
        <v>16200</v>
      </c>
      <c r="O43" s="1058">
        <v>31.2</v>
      </c>
      <c r="P43" s="1058">
        <v>1583</v>
      </c>
      <c r="Q43" s="1058">
        <v>510</v>
      </c>
      <c r="R43" s="1058">
        <v>64.099999999999994</v>
      </c>
      <c r="S43" s="1058">
        <v>175</v>
      </c>
      <c r="T43" s="116">
        <v>33.162620056077344</v>
      </c>
      <c r="U43" s="116">
        <v>28.59012833524741</v>
      </c>
      <c r="V43" s="116">
        <v>41.809655611771049</v>
      </c>
      <c r="W43" s="116">
        <v>37.828726554248746</v>
      </c>
      <c r="X43" s="1058">
        <v>1.9</v>
      </c>
      <c r="Y43" s="1058">
        <v>61</v>
      </c>
      <c r="Z43" s="1058">
        <v>18000</v>
      </c>
      <c r="AA43" s="1058">
        <v>32.5</v>
      </c>
      <c r="AB43" s="1058">
        <v>2015</v>
      </c>
      <c r="AC43" s="1058">
        <v>521</v>
      </c>
      <c r="AD43" s="1058">
        <v>68.5</v>
      </c>
      <c r="AE43" s="1058">
        <v>159</v>
      </c>
      <c r="AF43" s="116">
        <v>33.162620056077344</v>
      </c>
      <c r="AG43" s="116">
        <v>37.379035617063117</v>
      </c>
      <c r="AH43" s="116">
        <v>46.054543956201108</v>
      </c>
      <c r="AI43" s="116">
        <v>49.457676462268616</v>
      </c>
    </row>
    <row r="44" spans="1:35">
      <c r="A44" s="1206" t="s">
        <v>190</v>
      </c>
      <c r="B44" s="1182">
        <v>41738</v>
      </c>
      <c r="C44" s="116">
        <v>2.7</v>
      </c>
      <c r="D44" s="116">
        <v>79.02</v>
      </c>
      <c r="E44" s="116"/>
      <c r="F44" s="116">
        <v>5.68</v>
      </c>
      <c r="G44" s="116"/>
      <c r="H44" s="116"/>
      <c r="I44" s="116"/>
      <c r="J44" s="116"/>
      <c r="K44" s="116"/>
      <c r="L44" s="1191">
        <v>1.85</v>
      </c>
      <c r="M44" s="1191">
        <v>66.08</v>
      </c>
      <c r="N44" s="1058"/>
      <c r="O44" s="1058"/>
      <c r="P44" s="1058"/>
      <c r="Q44" s="1058"/>
      <c r="R44" s="1058"/>
      <c r="S44" s="1058"/>
      <c r="T44" s="116">
        <v>34.084192641647782</v>
      </c>
      <c r="U44" s="116">
        <v>30.050037649646242</v>
      </c>
      <c r="V44" s="116">
        <v>42.893053830075431</v>
      </c>
      <c r="W44" s="116">
        <v>39.398015519812311</v>
      </c>
      <c r="X44" s="1191">
        <v>1.81</v>
      </c>
      <c r="Y44" s="1191">
        <v>62.22</v>
      </c>
      <c r="Z44" s="1058"/>
      <c r="AA44" s="1058"/>
      <c r="AB44" s="1058"/>
      <c r="AC44" s="1058"/>
      <c r="AD44" s="1058"/>
      <c r="AE44" s="1058"/>
      <c r="AF44" s="116">
        <v>35.509399287233784</v>
      </c>
      <c r="AG44" s="116">
        <v>37.196857519216529</v>
      </c>
      <c r="AH44" s="116">
        <v>47.391519819107067</v>
      </c>
      <c r="AI44" s="116">
        <v>48.768071005980659</v>
      </c>
    </row>
    <row r="45" spans="1:35">
      <c r="A45" s="1207"/>
      <c r="B45" s="1182">
        <v>41746</v>
      </c>
      <c r="C45" s="116">
        <v>2.8</v>
      </c>
      <c r="D45" s="116">
        <v>78</v>
      </c>
      <c r="E45" s="116">
        <v>35100</v>
      </c>
      <c r="F45" s="116"/>
      <c r="G45" s="116">
        <v>47</v>
      </c>
      <c r="H45" s="116">
        <v>5471</v>
      </c>
      <c r="I45" s="116">
        <v>3035</v>
      </c>
      <c r="J45" s="116">
        <v>32</v>
      </c>
      <c r="K45" s="116">
        <v>259</v>
      </c>
      <c r="L45" s="1058">
        <v>1.7</v>
      </c>
      <c r="M45" s="1058">
        <v>64.599999999999994</v>
      </c>
      <c r="N45" s="1058">
        <v>18000</v>
      </c>
      <c r="O45" s="1058">
        <v>28.4</v>
      </c>
      <c r="P45" s="1058">
        <v>1285</v>
      </c>
      <c r="Q45" s="1058">
        <v>196</v>
      </c>
      <c r="R45" s="1058">
        <v>38.700000000000003</v>
      </c>
      <c r="S45" s="1058">
        <v>171</v>
      </c>
      <c r="T45" s="116">
        <v>38.936989169641855</v>
      </c>
      <c r="U45" s="116">
        <v>34.362887379836572</v>
      </c>
      <c r="V45" s="116">
        <v>48.613324576750806</v>
      </c>
      <c r="W45" s="116">
        <v>44.764056733102812</v>
      </c>
      <c r="X45" s="1058">
        <v>1.8</v>
      </c>
      <c r="Y45" s="1058">
        <v>63.1</v>
      </c>
      <c r="Z45" s="1058">
        <v>18700</v>
      </c>
      <c r="AA45" s="1058">
        <v>32.6</v>
      </c>
      <c r="AB45" s="1058">
        <v>2450</v>
      </c>
      <c r="AC45" s="1058">
        <v>733</v>
      </c>
      <c r="AD45" s="1058">
        <v>71</v>
      </c>
      <c r="AE45" s="1058">
        <v>163</v>
      </c>
      <c r="AF45" s="116">
        <v>35.345047356091378</v>
      </c>
      <c r="AG45" s="116">
        <v>37.031062689599302</v>
      </c>
      <c r="AH45" s="116">
        <v>46.853955613070077</v>
      </c>
      <c r="AI45" s="116">
        <v>48.239851698172203</v>
      </c>
    </row>
    <row r="46" spans="1:35">
      <c r="A46" s="1207"/>
      <c r="B46" s="1182">
        <v>41753</v>
      </c>
      <c r="C46" s="116">
        <v>3.58</v>
      </c>
      <c r="D46" s="116">
        <v>78.459999999999994</v>
      </c>
      <c r="E46" s="116">
        <v>4760</v>
      </c>
      <c r="F46" s="116"/>
      <c r="G46" s="116"/>
      <c r="H46" s="116">
        <v>7862</v>
      </c>
      <c r="I46" s="116"/>
      <c r="J46" s="116"/>
      <c r="K46" s="116"/>
      <c r="L46" s="1191">
        <v>1.72</v>
      </c>
      <c r="M46" s="1191">
        <v>65.16</v>
      </c>
      <c r="N46" s="1058">
        <v>18300</v>
      </c>
      <c r="O46" s="1058"/>
      <c r="P46" s="1058">
        <v>1940</v>
      </c>
      <c r="Q46" s="1058"/>
      <c r="R46" s="1058"/>
      <c r="S46" s="1058"/>
      <c r="T46" s="116">
        <v>39.691644707877359</v>
      </c>
      <c r="U46" s="116">
        <v>34.128766166653691</v>
      </c>
      <c r="V46" s="116">
        <v>48.998457347615421</v>
      </c>
      <c r="W46" s="116">
        <v>44.294044736527148</v>
      </c>
      <c r="X46" s="1191">
        <v>1.83</v>
      </c>
      <c r="Y46" s="1191">
        <v>62.29</v>
      </c>
      <c r="Z46" s="1058">
        <v>19100</v>
      </c>
      <c r="AA46" s="1058"/>
      <c r="AB46" s="1058">
        <v>2850</v>
      </c>
      <c r="AC46" s="1058"/>
      <c r="AD46" s="1058"/>
      <c r="AE46" s="1058"/>
      <c r="AF46" s="116">
        <v>35.834715008962533</v>
      </c>
      <c r="AG46" s="116">
        <v>39.142036946332922</v>
      </c>
      <c r="AH46" s="116">
        <v>48.12677962631183</v>
      </c>
      <c r="AI46" s="116">
        <v>50.800521973562553</v>
      </c>
    </row>
    <row r="47" spans="1:35">
      <c r="A47" s="1207"/>
      <c r="B47" s="1182">
        <v>41759</v>
      </c>
      <c r="C47" s="116">
        <v>3.9</v>
      </c>
      <c r="D47" s="116">
        <v>79</v>
      </c>
      <c r="E47" s="116">
        <v>51200</v>
      </c>
      <c r="F47" s="116"/>
      <c r="G47" s="116">
        <v>48.1</v>
      </c>
      <c r="H47" s="116">
        <v>9178</v>
      </c>
      <c r="I47" s="116">
        <v>4958</v>
      </c>
      <c r="J47" s="116">
        <v>48.6</v>
      </c>
      <c r="K47" s="116">
        <v>153</v>
      </c>
      <c r="L47" s="1058">
        <v>1.9</v>
      </c>
      <c r="M47" s="1058">
        <v>67.099999999999994</v>
      </c>
      <c r="N47" s="1058">
        <v>19700</v>
      </c>
      <c r="O47" s="1058">
        <v>32</v>
      </c>
      <c r="P47" s="1058">
        <v>890</v>
      </c>
      <c r="Q47" s="1058">
        <v>297</v>
      </c>
      <c r="R47" s="1058">
        <v>61.2</v>
      </c>
      <c r="S47" s="1058">
        <v>198</v>
      </c>
      <c r="T47" s="116">
        <v>36.709060270320762</v>
      </c>
      <c r="U47" s="116">
        <v>31.156419855508044</v>
      </c>
      <c r="V47" s="116">
        <v>45.096358330880783</v>
      </c>
      <c r="W47" s="116">
        <v>40.279552308495433</v>
      </c>
      <c r="X47" s="1195">
        <v>2</v>
      </c>
      <c r="Y47" s="1058">
        <v>65.2</v>
      </c>
      <c r="Z47" s="1058">
        <v>18700</v>
      </c>
      <c r="AA47" s="1058">
        <v>31.5</v>
      </c>
      <c r="AB47" s="1058">
        <v>2634</v>
      </c>
      <c r="AC47" s="1058">
        <v>697</v>
      </c>
      <c r="AD47" s="1058">
        <v>73.3</v>
      </c>
      <c r="AE47" s="1058">
        <v>129</v>
      </c>
      <c r="AF47" s="116">
        <v>33.37795817928501</v>
      </c>
      <c r="AG47" s="116">
        <v>34.915121070293509</v>
      </c>
      <c r="AH47" s="116">
        <v>43.843165160772237</v>
      </c>
      <c r="AI47" s="116">
        <v>45.13886550606717</v>
      </c>
    </row>
    <row r="48" spans="1:35">
      <c r="A48" s="1207"/>
      <c r="B48" s="1182">
        <v>41767</v>
      </c>
      <c r="C48" s="116">
        <v>3.3</v>
      </c>
      <c r="D48" s="116">
        <v>75</v>
      </c>
      <c r="E48" s="116">
        <v>39500</v>
      </c>
      <c r="F48" s="116"/>
      <c r="G48" s="116"/>
      <c r="H48" s="116">
        <v>7659</v>
      </c>
      <c r="I48" s="116"/>
      <c r="J48" s="116"/>
      <c r="K48" s="116"/>
      <c r="L48" s="1058">
        <v>2.1</v>
      </c>
      <c r="M48" s="1058">
        <v>67.3</v>
      </c>
      <c r="N48" s="1058">
        <v>23500</v>
      </c>
      <c r="O48" s="1058"/>
      <c r="P48" s="1058">
        <v>1213</v>
      </c>
      <c r="Q48" s="1058"/>
      <c r="R48" s="1058"/>
      <c r="S48" s="1058"/>
      <c r="T48" s="116">
        <v>31.76179907636763</v>
      </c>
      <c r="U48" s="116">
        <v>31.239441276138567</v>
      </c>
      <c r="V48" s="116">
        <v>40.754520948982019</v>
      </c>
      <c r="W48" s="116">
        <v>40.301001693026826</v>
      </c>
      <c r="X48" s="1058">
        <v>2.1</v>
      </c>
      <c r="Y48" s="1058">
        <v>66.099999999999994</v>
      </c>
      <c r="Z48" s="1058">
        <v>19900</v>
      </c>
      <c r="AA48" s="1058"/>
      <c r="AB48" s="1058">
        <v>2758</v>
      </c>
      <c r="AC48" s="1058"/>
      <c r="AD48" s="1058"/>
      <c r="AE48" s="1058"/>
      <c r="AF48" s="116">
        <v>31.76179907636763</v>
      </c>
      <c r="AG48" s="116">
        <v>33.67344335485933</v>
      </c>
      <c r="AH48" s="116">
        <v>41.810903933546982</v>
      </c>
      <c r="AI48" s="116">
        <v>43.441029743729572</v>
      </c>
    </row>
    <row r="49" spans="1:35">
      <c r="A49" s="1207"/>
      <c r="B49" s="1182">
        <v>41770</v>
      </c>
      <c r="C49" s="116">
        <v>2.9</v>
      </c>
      <c r="D49" s="116">
        <v>76.900000000000006</v>
      </c>
      <c r="E49" s="116"/>
      <c r="F49" s="116"/>
      <c r="G49" s="116"/>
      <c r="H49" s="116"/>
      <c r="I49" s="116"/>
      <c r="J49" s="116"/>
      <c r="K49" s="116"/>
      <c r="L49" s="1191">
        <v>1.94</v>
      </c>
      <c r="M49" s="1191">
        <v>66.7</v>
      </c>
      <c r="N49" s="1058"/>
      <c r="O49" s="1058"/>
      <c r="P49" s="1058"/>
      <c r="Q49" s="1058"/>
      <c r="R49" s="1058"/>
      <c r="S49" s="1058"/>
      <c r="T49" s="116">
        <v>36.340325577120367</v>
      </c>
      <c r="U49" s="116">
        <v>32.208099991883799</v>
      </c>
      <c r="V49" s="116">
        <v>45.158747434938299</v>
      </c>
      <c r="W49" s="116">
        <v>41.598936156759308</v>
      </c>
      <c r="X49" s="1194">
        <v>2</v>
      </c>
      <c r="Y49" s="1191">
        <v>64</v>
      </c>
      <c r="Z49" s="1058"/>
      <c r="AA49" s="1058"/>
      <c r="AB49" s="1058"/>
      <c r="AC49" s="1058"/>
      <c r="AD49" s="1058"/>
      <c r="AE49" s="1058"/>
      <c r="AF49" s="116">
        <v>34.371469667134399</v>
      </c>
      <c r="AG49" s="116">
        <v>37.292492492492514</v>
      </c>
      <c r="AH49" s="116">
        <v>45.751245549947463</v>
      </c>
      <c r="AI49" s="116">
        <v>48.165772420991772</v>
      </c>
    </row>
    <row r="50" spans="1:35">
      <c r="A50" s="1207"/>
      <c r="B50" s="1182">
        <v>41774</v>
      </c>
      <c r="C50" s="116">
        <v>3.1</v>
      </c>
      <c r="D50" s="116">
        <v>76</v>
      </c>
      <c r="E50" s="116">
        <v>36900</v>
      </c>
      <c r="F50" s="116"/>
      <c r="G50" s="116">
        <v>45.5</v>
      </c>
      <c r="H50" s="116">
        <v>7647</v>
      </c>
      <c r="I50" s="116">
        <v>3924</v>
      </c>
      <c r="J50" s="116">
        <v>60</v>
      </c>
      <c r="K50" s="116">
        <v>200</v>
      </c>
      <c r="L50" s="1058">
        <v>2.1</v>
      </c>
      <c r="M50" s="1058">
        <v>68.3</v>
      </c>
      <c r="N50" s="1058">
        <v>22800</v>
      </c>
      <c r="O50" s="1058">
        <v>36.6</v>
      </c>
      <c r="P50" s="1058">
        <v>2165</v>
      </c>
      <c r="Q50" s="1058">
        <v>740</v>
      </c>
      <c r="R50" s="1058">
        <v>78.5</v>
      </c>
      <c r="S50" s="1058">
        <v>133</v>
      </c>
      <c r="T50" s="116">
        <v>30.404929824385384</v>
      </c>
      <c r="U50" s="116">
        <v>27.871600306931555</v>
      </c>
      <c r="V50" s="116">
        <v>38.376547967735284</v>
      </c>
      <c r="W50" s="116">
        <v>36.133393249925454</v>
      </c>
      <c r="X50" s="1058">
        <v>2.2000000000000002</v>
      </c>
      <c r="Y50" s="1058">
        <v>66.7</v>
      </c>
      <c r="Z50" s="1058">
        <v>21600</v>
      </c>
      <c r="AA50" s="1058">
        <v>35.4</v>
      </c>
      <c r="AB50" s="1058">
        <v>2930</v>
      </c>
      <c r="AC50" s="1058">
        <v>719</v>
      </c>
      <c r="AD50" s="1058">
        <v>85.6</v>
      </c>
      <c r="AE50" s="1058">
        <v>115</v>
      </c>
      <c r="AF50" s="116">
        <v>27.09087886364183</v>
      </c>
      <c r="AG50" s="116">
        <v>31.3372291210129</v>
      </c>
      <c r="AH50" s="116">
        <v>36.954435256121279</v>
      </c>
      <c r="AI50" s="116">
        <v>40.62631534332715</v>
      </c>
    </row>
    <row r="51" spans="1:35">
      <c r="A51" s="1208"/>
      <c r="B51" s="1182">
        <v>41781</v>
      </c>
      <c r="C51" s="116">
        <v>3.1</v>
      </c>
      <c r="D51" s="116">
        <v>74.8</v>
      </c>
      <c r="E51" s="116">
        <v>38600</v>
      </c>
      <c r="F51" s="116"/>
      <c r="G51" s="116"/>
      <c r="H51" s="116">
        <v>9492</v>
      </c>
      <c r="I51" s="116"/>
      <c r="J51" s="116"/>
      <c r="K51" s="116"/>
      <c r="L51" s="1195">
        <v>2</v>
      </c>
      <c r="M51" s="1058">
        <v>66.2</v>
      </c>
      <c r="N51" s="1058">
        <v>22700</v>
      </c>
      <c r="O51" s="1058"/>
      <c r="P51" s="1058">
        <v>2426</v>
      </c>
      <c r="Q51" s="1058"/>
      <c r="R51" s="1058"/>
      <c r="S51" s="1058"/>
      <c r="T51" s="116">
        <v>33.730947647448659</v>
      </c>
      <c r="U51" s="116">
        <v>32.893491124260343</v>
      </c>
      <c r="V51" s="116">
        <v>43.260155904978149</v>
      </c>
      <c r="W51" s="116">
        <v>42.543122072816601</v>
      </c>
      <c r="X51" s="1058">
        <v>2.2000000000000002</v>
      </c>
      <c r="Y51" s="1058">
        <v>63.2</v>
      </c>
      <c r="Z51" s="1058">
        <v>21500</v>
      </c>
      <c r="AA51" s="1058"/>
      <c r="AB51" s="1058">
        <v>3294</v>
      </c>
      <c r="AC51" s="1058"/>
      <c r="AD51" s="1058"/>
      <c r="AE51" s="1058"/>
      <c r="AF51" s="116">
        <v>27.104042412193518</v>
      </c>
      <c r="AG51" s="116">
        <v>38.364130434782595</v>
      </c>
      <c r="AH51" s="116">
        <v>40.414592726798801</v>
      </c>
      <c r="AI51" s="116">
        <v>49.618627531470814</v>
      </c>
    </row>
    <row r="52" spans="1:35">
      <c r="A52" s="1209" t="s">
        <v>191</v>
      </c>
      <c r="B52" s="1184">
        <v>41788</v>
      </c>
      <c r="C52" s="116">
        <v>2.9</v>
      </c>
      <c r="D52" s="116">
        <v>74.400000000000006</v>
      </c>
      <c r="E52" s="116">
        <v>36800</v>
      </c>
      <c r="F52" s="116"/>
      <c r="G52" s="116">
        <v>45.3</v>
      </c>
      <c r="H52" s="116">
        <v>9526</v>
      </c>
      <c r="I52" s="116">
        <v>3684</v>
      </c>
      <c r="J52" s="116">
        <v>70.599999999999994</v>
      </c>
      <c r="K52" s="116">
        <v>144</v>
      </c>
      <c r="L52" s="116">
        <v>2.1</v>
      </c>
      <c r="M52" s="116">
        <v>68.099999999999994</v>
      </c>
      <c r="N52" s="116">
        <v>21800</v>
      </c>
      <c r="O52" s="116">
        <v>31.8</v>
      </c>
      <c r="P52" s="116">
        <v>1422</v>
      </c>
      <c r="Q52" s="116">
        <v>289</v>
      </c>
      <c r="R52" s="116">
        <v>78.7</v>
      </c>
      <c r="S52" s="116">
        <v>136</v>
      </c>
      <c r="T52" s="116">
        <v>31.102362204724418</v>
      </c>
      <c r="U52" s="116">
        <v>27.862068965517206</v>
      </c>
      <c r="V52" s="116">
        <v>39.056357693948826</v>
      </c>
      <c r="W52" s="116">
        <v>36.190145172646666</v>
      </c>
      <c r="X52" s="116">
        <v>2.2000000000000002</v>
      </c>
      <c r="Y52" s="116">
        <v>65</v>
      </c>
      <c r="Z52" s="116">
        <v>21000</v>
      </c>
      <c r="AA52" s="116">
        <v>36.9</v>
      </c>
      <c r="AB52" s="116">
        <v>2741</v>
      </c>
      <c r="AC52" s="116">
        <v>540</v>
      </c>
      <c r="AD52" s="116">
        <v>89.5</v>
      </c>
      <c r="AE52" s="116">
        <v>122</v>
      </c>
      <c r="AF52" s="116">
        <v>27.821522309711291</v>
      </c>
      <c r="AG52" s="116">
        <v>34.251428571428534</v>
      </c>
      <c r="AH52" s="116">
        <v>39.060619189110426</v>
      </c>
      <c r="AI52" s="116">
        <v>44.489308166764353</v>
      </c>
    </row>
    <row r="53" spans="1:35">
      <c r="A53" s="1210"/>
      <c r="B53" s="1184">
        <v>41836</v>
      </c>
      <c r="C53" s="116">
        <v>3.24</v>
      </c>
      <c r="D53" s="116">
        <v>75.42</v>
      </c>
      <c r="E53" s="116"/>
      <c r="F53" s="116">
        <v>6.74</v>
      </c>
      <c r="G53" s="116"/>
      <c r="H53" s="116"/>
      <c r="I53" s="116"/>
      <c r="J53" s="116"/>
      <c r="K53" s="116"/>
      <c r="L53" s="116">
        <v>1.84</v>
      </c>
      <c r="M53" s="116">
        <v>66.03</v>
      </c>
      <c r="N53" s="116"/>
      <c r="O53" s="116"/>
      <c r="P53" s="116"/>
      <c r="Q53" s="116"/>
      <c r="R53" s="116"/>
      <c r="S53" s="116"/>
      <c r="T53" s="116">
        <v>41.624365482233507</v>
      </c>
      <c r="U53" s="116">
        <v>31.410067706800081</v>
      </c>
      <c r="V53" s="116">
        <v>49.745200166778062</v>
      </c>
      <c r="W53" s="116">
        <v>40.951848379139619</v>
      </c>
      <c r="X53" s="116">
        <v>2.15</v>
      </c>
      <c r="Y53" s="116">
        <v>63.64</v>
      </c>
      <c r="Z53" s="116"/>
      <c r="AA53" s="116"/>
      <c r="AB53" s="116"/>
      <c r="AC53" s="116"/>
      <c r="AD53" s="116"/>
      <c r="AE53" s="116"/>
      <c r="AF53" s="116">
        <v>31.789340101522846</v>
      </c>
      <c r="AG53" s="116">
        <v>35.918591859185888</v>
      </c>
      <c r="AH53" s="116">
        <v>43.403827953858062</v>
      </c>
      <c r="AI53" s="116">
        <v>46.829976348351884</v>
      </c>
    </row>
    <row r="54" spans="1:35">
      <c r="A54" s="1210"/>
      <c r="B54" s="1184">
        <v>41850</v>
      </c>
      <c r="C54" s="116">
        <v>2.74</v>
      </c>
      <c r="D54" s="116">
        <v>80.459999999999994</v>
      </c>
      <c r="E54" s="116"/>
      <c r="F54" s="116">
        <v>7.3</v>
      </c>
      <c r="G54" s="116"/>
      <c r="H54" s="116"/>
      <c r="I54" s="116"/>
      <c r="J54" s="116"/>
      <c r="K54" s="116"/>
      <c r="L54" s="116">
        <v>2.09</v>
      </c>
      <c r="M54" s="116">
        <v>73.680000000000007</v>
      </c>
      <c r="N54" s="116"/>
      <c r="O54" s="116"/>
      <c r="P54" s="116"/>
      <c r="Q54" s="116"/>
      <c r="R54" s="116"/>
      <c r="S54" s="116"/>
      <c r="T54" s="116">
        <v>33.77693282636249</v>
      </c>
      <c r="U54" s="116">
        <v>12.021276595744634</v>
      </c>
      <c r="V54" s="116">
        <v>36.503623062911714</v>
      </c>
      <c r="W54" s="1196">
        <v>15.643741340566129</v>
      </c>
      <c r="X54" s="116">
        <v>2.2000000000000002</v>
      </c>
      <c r="Y54" s="116">
        <v>64.2</v>
      </c>
      <c r="Z54" s="116"/>
      <c r="AA54" s="116"/>
      <c r="AB54" s="116"/>
      <c r="AC54" s="116"/>
      <c r="AD54" s="116"/>
      <c r="AE54" s="116"/>
      <c r="AF54" s="116">
        <v>30.291508238276297</v>
      </c>
      <c r="AG54" s="116">
        <v>35.318435754189927</v>
      </c>
      <c r="AH54" s="116">
        <v>41.761423519042971</v>
      </c>
      <c r="AI54" s="116">
        <v>45.961214609065024</v>
      </c>
    </row>
    <row r="55" spans="1:35">
      <c r="A55" s="1210"/>
      <c r="B55" s="1184">
        <v>41857</v>
      </c>
      <c r="C55" s="116">
        <v>2.84</v>
      </c>
      <c r="D55" s="116">
        <v>80.62</v>
      </c>
      <c r="E55" s="116"/>
      <c r="F55" s="116">
        <v>6.91</v>
      </c>
      <c r="G55" s="116"/>
      <c r="H55" s="116"/>
      <c r="I55" s="116"/>
      <c r="J55" s="116"/>
      <c r="K55" s="116"/>
      <c r="L55" s="116">
        <v>2.0299999999999998</v>
      </c>
      <c r="M55" s="116">
        <v>67.349999999999994</v>
      </c>
      <c r="N55" s="116"/>
      <c r="O55" s="116"/>
      <c r="P55" s="116"/>
      <c r="Q55" s="116"/>
      <c r="R55" s="116"/>
      <c r="S55" s="116"/>
      <c r="T55" s="116">
        <v>35.75949367088608</v>
      </c>
      <c r="U55" s="116">
        <v>29.880551301684534</v>
      </c>
      <c r="V55" s="116">
        <v>43.887659828472202</v>
      </c>
      <c r="W55" s="116">
        <v>38.752563097144879</v>
      </c>
      <c r="X55" s="116">
        <v>2.21</v>
      </c>
      <c r="Y55" s="116">
        <v>65.650000000000006</v>
      </c>
      <c r="Z55" s="116"/>
      <c r="AA55" s="116"/>
      <c r="AB55" s="116"/>
      <c r="AC55" s="116"/>
      <c r="AD55" s="116"/>
      <c r="AE55" s="116"/>
      <c r="AF55" s="116">
        <v>30.063291139240508</v>
      </c>
      <c r="AG55" s="116">
        <v>33.350800582241604</v>
      </c>
      <c r="AH55" s="116">
        <v>40.45411593509116</v>
      </c>
      <c r="AI55" s="116">
        <v>43.253184683736166</v>
      </c>
    </row>
    <row r="56" spans="1:35">
      <c r="A56" s="1210"/>
      <c r="B56" s="1184">
        <v>41864</v>
      </c>
      <c r="C56" s="116">
        <v>2.62</v>
      </c>
      <c r="D56" s="116">
        <v>86.04</v>
      </c>
      <c r="E56" s="116"/>
      <c r="F56" s="116"/>
      <c r="G56" s="116"/>
      <c r="H56" s="116"/>
      <c r="I56" s="116"/>
      <c r="J56" s="116"/>
      <c r="K56" s="116"/>
      <c r="L56" s="116">
        <v>1.69</v>
      </c>
      <c r="M56" s="116">
        <v>68.040000000000006</v>
      </c>
      <c r="N56" s="116"/>
      <c r="O56" s="116"/>
      <c r="P56" s="116"/>
      <c r="Q56" s="116"/>
      <c r="R56" s="116"/>
      <c r="S56" s="116"/>
      <c r="T56" s="116">
        <v>44.843342036553523</v>
      </c>
      <c r="U56" s="116">
        <v>30.738423028785931</v>
      </c>
      <c r="V56" s="116">
        <v>51.802386111259402</v>
      </c>
      <c r="W56" s="116">
        <v>39.477066460477168</v>
      </c>
      <c r="X56" s="116">
        <v>1.75</v>
      </c>
      <c r="Y56" s="116">
        <v>68.760000000000005</v>
      </c>
      <c r="Z56" s="116"/>
      <c r="AA56" s="116"/>
      <c r="AB56" s="116"/>
      <c r="AC56" s="116"/>
      <c r="AD56" s="116"/>
      <c r="AE56" s="116"/>
      <c r="AF56" s="116">
        <v>42.885117493472585</v>
      </c>
      <c r="AG56" s="116">
        <v>29.142125480153602</v>
      </c>
      <c r="AH56" s="116">
        <v>49.563093070625378</v>
      </c>
      <c r="AI56" s="116">
        <v>37.426956591176427</v>
      </c>
    </row>
    <row r="57" spans="1:35">
      <c r="A57" s="1211"/>
      <c r="B57" s="1184">
        <v>41870</v>
      </c>
      <c r="C57" s="116">
        <v>2.62</v>
      </c>
      <c r="D57" s="116">
        <v>72.38</v>
      </c>
      <c r="E57" s="116"/>
      <c r="F57" s="116"/>
      <c r="G57" s="116"/>
      <c r="H57" s="116"/>
      <c r="I57" s="116"/>
      <c r="J57" s="116"/>
      <c r="K57" s="116"/>
      <c r="L57" s="116">
        <v>1.85</v>
      </c>
      <c r="M57" s="116">
        <v>68.69</v>
      </c>
      <c r="N57" s="116"/>
      <c r="O57" s="116"/>
      <c r="P57" s="116"/>
      <c r="Q57" s="116"/>
      <c r="R57" s="116"/>
      <c r="S57" s="116"/>
      <c r="T57" s="116">
        <v>36.989100817438697</v>
      </c>
      <c r="U57" s="116">
        <v>27.186202491216815</v>
      </c>
      <c r="V57" s="116">
        <v>43.936443811687056</v>
      </c>
      <c r="W57" s="116">
        <v>35.214375911526673</v>
      </c>
      <c r="X57" s="116">
        <v>1.71</v>
      </c>
      <c r="Y57" s="116">
        <v>68.53</v>
      </c>
      <c r="Z57" s="116"/>
      <c r="AA57" s="116"/>
      <c r="AB57" s="116"/>
      <c r="AC57" s="116"/>
      <c r="AD57" s="116"/>
      <c r="AE57" s="116"/>
      <c r="AF57" s="116">
        <v>41.757493188010905</v>
      </c>
      <c r="AG57" s="116">
        <v>27.556402923419078</v>
      </c>
      <c r="AH57" s="116">
        <v>48.299798038579134</v>
      </c>
      <c r="AI57" s="116">
        <v>35.693897727285666</v>
      </c>
    </row>
  </sheetData>
  <mergeCells count="12">
    <mergeCell ref="A6:A43"/>
    <mergeCell ref="A44:A51"/>
    <mergeCell ref="A52:A57"/>
    <mergeCell ref="A1:A5"/>
    <mergeCell ref="B1:B5"/>
    <mergeCell ref="C1:I1"/>
    <mergeCell ref="L1:W1"/>
    <mergeCell ref="X1:AI1"/>
    <mergeCell ref="C2:F3"/>
    <mergeCell ref="G2:K3"/>
    <mergeCell ref="T3:W3"/>
    <mergeCell ref="AF3:AI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13"/>
  <sheetViews>
    <sheetView zoomScale="80" zoomScaleNormal="80" workbookViewId="0">
      <selection activeCell="C9" sqref="C9"/>
    </sheetView>
  </sheetViews>
  <sheetFormatPr defaultRowHeight="14.25"/>
  <cols>
    <col min="1" max="1" width="10.125" style="94" bestFit="1" customWidth="1"/>
    <col min="2" max="2" width="11.125" style="94" bestFit="1" customWidth="1"/>
  </cols>
  <sheetData>
    <row r="1" spans="1:35">
      <c r="A1" s="1178" t="s">
        <v>187</v>
      </c>
      <c r="B1" s="1179" t="s">
        <v>9</v>
      </c>
      <c r="C1" s="1197" t="s">
        <v>188</v>
      </c>
      <c r="D1" s="1197"/>
      <c r="E1" s="1197"/>
      <c r="F1" s="1197"/>
      <c r="G1" s="1197"/>
      <c r="H1" s="1197"/>
      <c r="I1" s="1197"/>
      <c r="J1" s="1198"/>
      <c r="K1" s="1198"/>
      <c r="L1" s="1185" t="s">
        <v>91</v>
      </c>
      <c r="M1" s="1185"/>
      <c r="N1" s="1185"/>
      <c r="O1" s="1185"/>
      <c r="P1" s="1185"/>
      <c r="Q1" s="1185"/>
      <c r="R1" s="1185"/>
      <c r="S1" s="1185"/>
      <c r="T1" s="1185"/>
      <c r="U1" s="1185"/>
      <c r="V1" s="1185"/>
      <c r="W1" s="1185"/>
      <c r="X1" s="1188" t="s">
        <v>109</v>
      </c>
      <c r="Y1" s="1188"/>
      <c r="Z1" s="1188"/>
      <c r="AA1" s="1188"/>
      <c r="AB1" s="1188"/>
      <c r="AC1" s="1188"/>
      <c r="AD1" s="1188"/>
      <c r="AE1" s="1188"/>
      <c r="AF1" s="1188"/>
      <c r="AG1" s="1188"/>
      <c r="AH1" s="1188"/>
      <c r="AI1" s="1188"/>
    </row>
    <row r="2" spans="1:35">
      <c r="A2" s="1178"/>
      <c r="B2" s="1180"/>
      <c r="C2" s="1199" t="s">
        <v>20</v>
      </c>
      <c r="D2" s="1200"/>
      <c r="E2" s="1200"/>
      <c r="F2" s="1201"/>
      <c r="G2" s="1199" t="s">
        <v>99</v>
      </c>
      <c r="H2" s="1200"/>
      <c r="I2" s="1200"/>
      <c r="J2" s="1200"/>
      <c r="K2" s="1201"/>
      <c r="L2" s="1186"/>
      <c r="M2" s="1186"/>
      <c r="N2" s="1186"/>
      <c r="O2" s="1186"/>
      <c r="P2" s="1186"/>
      <c r="Q2" s="1186"/>
      <c r="R2" s="1186"/>
      <c r="S2" s="1186"/>
      <c r="T2" s="1186"/>
      <c r="U2" s="1186"/>
      <c r="V2" s="1186"/>
      <c r="W2" s="1186"/>
      <c r="X2" s="1189"/>
      <c r="Y2" s="1189"/>
      <c r="Z2" s="1189"/>
      <c r="AA2" s="1189"/>
      <c r="AB2" s="1189"/>
      <c r="AC2" s="1189"/>
      <c r="AD2" s="1189"/>
      <c r="AE2" s="1189"/>
      <c r="AF2" s="1189"/>
      <c r="AG2" s="1189"/>
      <c r="AH2" s="1189"/>
      <c r="AI2" s="1189"/>
    </row>
    <row r="3" spans="1:35">
      <c r="A3" s="1178"/>
      <c r="B3" s="1180"/>
      <c r="C3" s="1202"/>
      <c r="D3" s="1203"/>
      <c r="E3" s="1203"/>
      <c r="F3" s="1204"/>
      <c r="G3" s="1202"/>
      <c r="H3" s="1203"/>
      <c r="I3" s="1203"/>
      <c r="J3" s="1203"/>
      <c r="K3" s="1204"/>
      <c r="L3" s="1186"/>
      <c r="M3" s="1186"/>
      <c r="N3" s="1186"/>
      <c r="O3" s="1186"/>
      <c r="P3" s="1186"/>
      <c r="Q3" s="1186"/>
      <c r="R3" s="1186"/>
      <c r="S3" s="1186"/>
      <c r="T3" s="1185" t="s">
        <v>88</v>
      </c>
      <c r="U3" s="1185"/>
      <c r="V3" s="1185"/>
      <c r="W3" s="1185"/>
      <c r="X3" s="1189"/>
      <c r="Y3" s="1189"/>
      <c r="Z3" s="1189"/>
      <c r="AA3" s="1189"/>
      <c r="AB3" s="1189"/>
      <c r="AC3" s="1189"/>
      <c r="AD3" s="1189"/>
      <c r="AE3" s="1189"/>
      <c r="AF3" s="1188" t="s">
        <v>88</v>
      </c>
      <c r="AG3" s="1188"/>
      <c r="AH3" s="1188"/>
      <c r="AI3" s="1188"/>
    </row>
    <row r="4" spans="1:35">
      <c r="A4" s="1178"/>
      <c r="B4" s="1180"/>
      <c r="C4" s="1205" t="s">
        <v>29</v>
      </c>
      <c r="D4" s="1205" t="s">
        <v>30</v>
      </c>
      <c r="E4" s="1205" t="s">
        <v>31</v>
      </c>
      <c r="F4" s="1205" t="s">
        <v>32</v>
      </c>
      <c r="G4" s="1205" t="s">
        <v>33</v>
      </c>
      <c r="H4" s="1205" t="s">
        <v>34</v>
      </c>
      <c r="I4" s="1205" t="s">
        <v>103</v>
      </c>
      <c r="J4" s="1205" t="s">
        <v>129</v>
      </c>
      <c r="K4" s="1205" t="s">
        <v>35</v>
      </c>
      <c r="L4" s="1187" t="s">
        <v>29</v>
      </c>
      <c r="M4" s="1187" t="s">
        <v>30</v>
      </c>
      <c r="N4" s="1187" t="s">
        <v>31</v>
      </c>
      <c r="O4" s="1187" t="s">
        <v>33</v>
      </c>
      <c r="P4" s="1187" t="s">
        <v>34</v>
      </c>
      <c r="Q4" s="1187" t="s">
        <v>103</v>
      </c>
      <c r="R4" s="1187" t="s">
        <v>129</v>
      </c>
      <c r="S4" s="1187" t="s">
        <v>35</v>
      </c>
      <c r="T4" s="1187" t="s">
        <v>89</v>
      </c>
      <c r="U4" s="1187" t="s">
        <v>89</v>
      </c>
      <c r="V4" s="1187" t="s">
        <v>90</v>
      </c>
      <c r="W4" s="1187" t="s">
        <v>90</v>
      </c>
      <c r="X4" s="1190" t="s">
        <v>29</v>
      </c>
      <c r="Y4" s="1190" t="s">
        <v>30</v>
      </c>
      <c r="Z4" s="1190" t="s">
        <v>31</v>
      </c>
      <c r="AA4" s="1190" t="s">
        <v>33</v>
      </c>
      <c r="AB4" s="1190" t="s">
        <v>34</v>
      </c>
      <c r="AC4" s="1190" t="s">
        <v>103</v>
      </c>
      <c r="AD4" s="1190" t="s">
        <v>129</v>
      </c>
      <c r="AE4" s="1190" t="s">
        <v>35</v>
      </c>
      <c r="AF4" s="1190" t="s">
        <v>89</v>
      </c>
      <c r="AG4" s="1190" t="s">
        <v>89</v>
      </c>
      <c r="AH4" s="1190" t="s">
        <v>90</v>
      </c>
      <c r="AI4" s="1190" t="s">
        <v>90</v>
      </c>
    </row>
    <row r="5" spans="1:35">
      <c r="A5" s="1178"/>
      <c r="B5" s="1181"/>
      <c r="C5" s="1205" t="s">
        <v>47</v>
      </c>
      <c r="D5" s="1205" t="s">
        <v>48</v>
      </c>
      <c r="E5" s="1205" t="s">
        <v>49</v>
      </c>
      <c r="F5" s="1205" t="s">
        <v>50</v>
      </c>
      <c r="G5" s="1205" t="s">
        <v>51</v>
      </c>
      <c r="H5" s="1205" t="s">
        <v>51</v>
      </c>
      <c r="I5" s="1205" t="s">
        <v>51</v>
      </c>
      <c r="J5" s="1205" t="s">
        <v>105</v>
      </c>
      <c r="K5" s="1205" t="s">
        <v>51</v>
      </c>
      <c r="L5" s="1187" t="s">
        <v>47</v>
      </c>
      <c r="M5" s="1187" t="s">
        <v>48</v>
      </c>
      <c r="N5" s="1187" t="s">
        <v>49</v>
      </c>
      <c r="O5" s="1187" t="s">
        <v>50</v>
      </c>
      <c r="P5" s="1187" t="s">
        <v>51</v>
      </c>
      <c r="Q5" s="1187" t="s">
        <v>51</v>
      </c>
      <c r="R5" s="1187" t="s">
        <v>51</v>
      </c>
      <c r="S5" s="1187" t="s">
        <v>51</v>
      </c>
      <c r="T5" s="1187" t="s">
        <v>47</v>
      </c>
      <c r="U5" s="1187" t="s">
        <v>47</v>
      </c>
      <c r="V5" s="1187" t="s">
        <v>47</v>
      </c>
      <c r="W5" s="1187" t="s">
        <v>47</v>
      </c>
      <c r="X5" s="1190" t="s">
        <v>47</v>
      </c>
      <c r="Y5" s="1190" t="s">
        <v>48</v>
      </c>
      <c r="Z5" s="1190" t="s">
        <v>49</v>
      </c>
      <c r="AA5" s="1190" t="s">
        <v>50</v>
      </c>
      <c r="AB5" s="1190" t="s">
        <v>51</v>
      </c>
      <c r="AC5" s="1190" t="s">
        <v>51</v>
      </c>
      <c r="AD5" s="1190" t="s">
        <v>51</v>
      </c>
      <c r="AE5" s="1190" t="s">
        <v>51</v>
      </c>
      <c r="AF5" s="1190" t="s">
        <v>47</v>
      </c>
      <c r="AG5" s="1190" t="s">
        <v>47</v>
      </c>
      <c r="AH5" s="1190" t="s">
        <v>47</v>
      </c>
      <c r="AI5" s="1190" t="s">
        <v>47</v>
      </c>
    </row>
    <row r="6" spans="1:35">
      <c r="A6" s="1102"/>
      <c r="B6" s="1038">
        <v>41563</v>
      </c>
      <c r="C6" s="116"/>
      <c r="D6" s="116"/>
      <c r="E6" s="116"/>
      <c r="F6" s="116"/>
      <c r="G6" s="116"/>
      <c r="H6" s="116"/>
      <c r="I6" s="116"/>
      <c r="J6" s="116"/>
      <c r="K6" s="116"/>
      <c r="L6" s="147"/>
      <c r="M6" s="147"/>
      <c r="N6" s="147"/>
      <c r="O6" s="147"/>
      <c r="P6" s="147"/>
      <c r="Q6" s="147"/>
      <c r="R6" s="147"/>
      <c r="S6" s="147"/>
      <c r="T6" s="116"/>
      <c r="U6" s="116"/>
      <c r="V6" s="116"/>
      <c r="W6" s="116"/>
      <c r="X6" s="147"/>
      <c r="Y6" s="147"/>
      <c r="Z6" s="147"/>
      <c r="AA6" s="147"/>
      <c r="AB6" s="147"/>
      <c r="AC6" s="147"/>
      <c r="AD6" s="147"/>
      <c r="AE6" s="147"/>
      <c r="AF6" s="116"/>
      <c r="AG6" s="116"/>
      <c r="AH6" s="116"/>
      <c r="AI6" s="116"/>
    </row>
    <row r="7" spans="1:35">
      <c r="A7" s="1102"/>
      <c r="B7" s="1038">
        <v>41564</v>
      </c>
      <c r="C7" s="116">
        <v>3.8</v>
      </c>
      <c r="D7" s="116">
        <v>77.099999999999994</v>
      </c>
      <c r="E7" s="116">
        <v>46300</v>
      </c>
      <c r="F7" s="116"/>
      <c r="G7" s="116"/>
      <c r="H7" s="116">
        <v>6876</v>
      </c>
      <c r="I7" s="116"/>
      <c r="J7" s="116"/>
      <c r="K7" s="116"/>
      <c r="L7" s="147">
        <v>2.6</v>
      </c>
      <c r="M7" s="147">
        <v>65.5</v>
      </c>
      <c r="N7" s="147">
        <v>26400</v>
      </c>
      <c r="O7" s="147"/>
      <c r="P7" s="147">
        <v>1625</v>
      </c>
      <c r="Q7" s="147"/>
      <c r="R7" s="147"/>
      <c r="S7" s="147"/>
      <c r="T7" s="116">
        <v>36.631732878381662</v>
      </c>
      <c r="U7" s="116">
        <v>30.188405797101471</v>
      </c>
      <c r="V7" s="116">
        <v>45.325410044576167</v>
      </c>
      <c r="W7" s="116">
        <v>39.766061775803813</v>
      </c>
      <c r="X7" s="147">
        <v>2.7</v>
      </c>
      <c r="Y7" s="147">
        <v>64</v>
      </c>
      <c r="Z7" s="147">
        <v>25500</v>
      </c>
      <c r="AA7" s="147"/>
      <c r="AB7" s="147">
        <v>3457</v>
      </c>
      <c r="AC7" s="147"/>
      <c r="AD7" s="147"/>
      <c r="AE7" s="147"/>
      <c r="AF7" s="116">
        <v>34.194491835242495</v>
      </c>
      <c r="AG7" s="116">
        <v>33.097222222222243</v>
      </c>
      <c r="AH7" s="116">
        <v>44.522788348225248</v>
      </c>
      <c r="AI7" s="116">
        <v>43.597737235358281</v>
      </c>
    </row>
    <row r="8" spans="1:35">
      <c r="A8" s="1102"/>
      <c r="B8" s="1038">
        <v>41565</v>
      </c>
      <c r="C8" s="116"/>
      <c r="D8" s="116"/>
      <c r="E8" s="116"/>
      <c r="F8" s="116"/>
      <c r="G8" s="116"/>
      <c r="H8" s="116"/>
      <c r="I8" s="116"/>
      <c r="J8" s="116"/>
      <c r="K8" s="116"/>
      <c r="L8" s="147"/>
      <c r="M8" s="147"/>
      <c r="N8" s="147"/>
      <c r="O8" s="147"/>
      <c r="P8" s="147"/>
      <c r="Q8" s="147"/>
      <c r="R8" s="147"/>
      <c r="S8" s="147"/>
      <c r="T8" s="116"/>
      <c r="U8" s="116"/>
      <c r="V8" s="116"/>
      <c r="W8" s="116"/>
      <c r="X8" s="147"/>
      <c r="Y8" s="147"/>
      <c r="Z8" s="147"/>
      <c r="AA8" s="147"/>
      <c r="AB8" s="147"/>
      <c r="AC8" s="147"/>
      <c r="AD8" s="147"/>
      <c r="AE8" s="147"/>
      <c r="AF8" s="116"/>
      <c r="AG8" s="116"/>
      <c r="AH8" s="116"/>
      <c r="AI8" s="116"/>
    </row>
    <row r="9" spans="1:35">
      <c r="A9" s="1102"/>
      <c r="B9" s="1038">
        <v>41566</v>
      </c>
      <c r="C9" s="116"/>
      <c r="D9" s="116"/>
      <c r="E9" s="116"/>
      <c r="F9" s="116"/>
      <c r="G9" s="116"/>
      <c r="H9" s="116"/>
      <c r="I9" s="116"/>
      <c r="J9" s="116"/>
      <c r="K9" s="116"/>
      <c r="L9" s="147"/>
      <c r="M9" s="147"/>
      <c r="N9" s="147"/>
      <c r="O9" s="147"/>
      <c r="P9" s="147"/>
      <c r="Q9" s="147"/>
      <c r="R9" s="147"/>
      <c r="S9" s="147"/>
      <c r="T9" s="116"/>
      <c r="U9" s="116"/>
      <c r="V9" s="116"/>
      <c r="W9" s="116"/>
      <c r="X9" s="147"/>
      <c r="Y9" s="147"/>
      <c r="Z9" s="147"/>
      <c r="AA9" s="147"/>
      <c r="AB9" s="147"/>
      <c r="AC9" s="147"/>
      <c r="AD9" s="147"/>
      <c r="AE9" s="147"/>
      <c r="AF9" s="116"/>
      <c r="AG9" s="116"/>
      <c r="AH9" s="116"/>
      <c r="AI9" s="116"/>
    </row>
    <row r="10" spans="1:35">
      <c r="A10" s="1102"/>
      <c r="B10" s="1038">
        <v>41567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47"/>
      <c r="M10" s="147"/>
      <c r="N10" s="147"/>
      <c r="O10" s="147"/>
      <c r="P10" s="147"/>
      <c r="Q10" s="147"/>
      <c r="R10" s="147"/>
      <c r="S10" s="147"/>
      <c r="T10" s="116"/>
      <c r="U10" s="116"/>
      <c r="V10" s="116"/>
      <c r="W10" s="116"/>
      <c r="X10" s="147"/>
      <c r="Y10" s="147"/>
      <c r="Z10" s="147"/>
      <c r="AA10" s="147"/>
      <c r="AB10" s="147"/>
      <c r="AC10" s="147"/>
      <c r="AD10" s="147"/>
      <c r="AE10" s="147"/>
      <c r="AF10" s="116"/>
      <c r="AG10" s="116"/>
      <c r="AH10" s="116"/>
      <c r="AI10" s="116"/>
    </row>
    <row r="11" spans="1:35">
      <c r="A11" s="1102"/>
      <c r="B11" s="1038">
        <v>41568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47"/>
      <c r="M11" s="147"/>
      <c r="N11" s="147"/>
      <c r="O11" s="147"/>
      <c r="P11" s="147"/>
      <c r="Q11" s="147"/>
      <c r="R11" s="147"/>
      <c r="S11" s="147"/>
      <c r="T11" s="116"/>
      <c r="U11" s="116"/>
      <c r="V11" s="116"/>
      <c r="W11" s="116"/>
      <c r="X11" s="147"/>
      <c r="Y11" s="147"/>
      <c r="Z11" s="147"/>
      <c r="AA11" s="147"/>
      <c r="AB11" s="147"/>
      <c r="AC11" s="147"/>
      <c r="AD11" s="147"/>
      <c r="AE11" s="147"/>
      <c r="AF11" s="116"/>
      <c r="AG11" s="116"/>
      <c r="AH11" s="116"/>
      <c r="AI11" s="116"/>
    </row>
    <row r="12" spans="1:35">
      <c r="A12" s="1102"/>
      <c r="B12" s="1038">
        <v>41569</v>
      </c>
      <c r="C12" s="116">
        <v>3.32</v>
      </c>
      <c r="D12" s="116">
        <v>78</v>
      </c>
      <c r="E12" s="116"/>
      <c r="F12" s="116">
        <v>5.84</v>
      </c>
      <c r="G12" s="116"/>
      <c r="H12" s="116"/>
      <c r="I12" s="116"/>
      <c r="J12" s="116"/>
      <c r="K12" s="116"/>
      <c r="L12" s="852">
        <v>2.46</v>
      </c>
      <c r="M12" s="852">
        <v>66.62</v>
      </c>
      <c r="N12" s="147"/>
      <c r="O12" s="147"/>
      <c r="P12" s="147"/>
      <c r="Q12" s="147"/>
      <c r="R12" s="147"/>
      <c r="S12" s="147"/>
      <c r="T12" s="116">
        <v>39.003223406893127</v>
      </c>
      <c r="U12" s="116">
        <v>29.080287597363718</v>
      </c>
      <c r="V12" s="116">
        <v>46.760579393494048</v>
      </c>
      <c r="W12" s="116">
        <v>38.099607736926274</v>
      </c>
      <c r="X12" s="1191">
        <v>2.65</v>
      </c>
      <c r="Y12" s="1191">
        <v>60.72</v>
      </c>
      <c r="Z12" s="147"/>
      <c r="AA12" s="147"/>
      <c r="AB12" s="147"/>
      <c r="AC12" s="147"/>
      <c r="AD12" s="147"/>
      <c r="AE12" s="147"/>
      <c r="AF12" s="116">
        <v>34.292090255392999</v>
      </c>
      <c r="AG12" s="116">
        <v>39.732688391038728</v>
      </c>
      <c r="AH12" s="116">
        <v>47.727746672965843</v>
      </c>
      <c r="AI12" s="116">
        <v>52.055875890626808</v>
      </c>
    </row>
    <row r="13" spans="1:35">
      <c r="A13" s="1102"/>
      <c r="B13" s="1038">
        <v>41570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47"/>
      <c r="M13" s="147"/>
      <c r="N13" s="147"/>
      <c r="O13" s="147"/>
      <c r="P13" s="147"/>
      <c r="Q13" s="147"/>
      <c r="R13" s="147"/>
      <c r="S13" s="147"/>
      <c r="T13" s="116"/>
      <c r="U13" s="116"/>
      <c r="V13" s="116"/>
      <c r="W13" s="116"/>
      <c r="X13" s="147"/>
      <c r="Y13" s="147"/>
      <c r="Z13" s="147"/>
      <c r="AA13" s="147"/>
      <c r="AB13" s="147"/>
      <c r="AC13" s="147"/>
      <c r="AD13" s="147"/>
      <c r="AE13" s="147"/>
      <c r="AF13" s="116"/>
      <c r="AG13" s="116"/>
      <c r="AH13" s="116"/>
      <c r="AI13" s="116"/>
    </row>
    <row r="14" spans="1:35">
      <c r="A14" s="1102"/>
      <c r="B14" s="1038">
        <v>41571</v>
      </c>
      <c r="C14" s="116">
        <v>3.4</v>
      </c>
      <c r="D14" s="116">
        <v>74.3</v>
      </c>
      <c r="E14" s="116">
        <v>36400</v>
      </c>
      <c r="F14" s="116"/>
      <c r="G14" s="116">
        <v>44.2</v>
      </c>
      <c r="H14" s="116">
        <v>4987</v>
      </c>
      <c r="I14" s="116">
        <v>2189</v>
      </c>
      <c r="J14" s="116">
        <v>43.4</v>
      </c>
      <c r="K14" s="116">
        <v>179</v>
      </c>
      <c r="L14" s="147">
        <v>2.6</v>
      </c>
      <c r="M14" s="147">
        <v>65</v>
      </c>
      <c r="N14" s="147">
        <v>22400</v>
      </c>
      <c r="O14" s="147">
        <v>39.1</v>
      </c>
      <c r="P14" s="147">
        <v>1631</v>
      </c>
      <c r="Q14" s="147">
        <v>445</v>
      </c>
      <c r="R14" s="147">
        <v>76.2</v>
      </c>
      <c r="S14" s="147">
        <v>113</v>
      </c>
      <c r="T14" s="116">
        <v>34.525308486527322</v>
      </c>
      <c r="U14" s="116">
        <v>31.651428571428575</v>
      </c>
      <c r="V14" s="116">
        <v>44.059321375749583</v>
      </c>
      <c r="W14" s="116">
        <v>41.603917783628091</v>
      </c>
      <c r="X14" s="147">
        <v>2.7</v>
      </c>
      <c r="Y14" s="147">
        <v>62.6</v>
      </c>
      <c r="Z14" s="147">
        <v>22700</v>
      </c>
      <c r="AA14" s="147">
        <v>39</v>
      </c>
      <c r="AB14" s="147">
        <v>3425</v>
      </c>
      <c r="AC14" s="147">
        <v>660</v>
      </c>
      <c r="AD14" s="147">
        <v>92.2</v>
      </c>
      <c r="AE14" s="147">
        <v>85.7</v>
      </c>
      <c r="AF14" s="116">
        <v>32.007051120624524</v>
      </c>
      <c r="AG14" s="116">
        <v>36.037433155080222</v>
      </c>
      <c r="AH14" s="116">
        <v>44.05270117709582</v>
      </c>
      <c r="AI14" s="116">
        <v>47.369059590262914</v>
      </c>
    </row>
    <row r="15" spans="1:35">
      <c r="A15" s="1102"/>
      <c r="B15" s="1038">
        <v>41572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47"/>
      <c r="M15" s="147"/>
      <c r="N15" s="147"/>
      <c r="O15" s="147"/>
      <c r="P15" s="147"/>
      <c r="Q15" s="147"/>
      <c r="R15" s="147"/>
      <c r="S15" s="147"/>
      <c r="T15" s="116"/>
      <c r="U15" s="116"/>
      <c r="V15" s="116"/>
      <c r="W15" s="116"/>
      <c r="X15" s="147"/>
      <c r="Y15" s="147"/>
      <c r="Z15" s="147"/>
      <c r="AA15" s="147"/>
      <c r="AB15" s="147"/>
      <c r="AC15" s="147"/>
      <c r="AD15" s="147"/>
      <c r="AE15" s="147"/>
      <c r="AF15" s="116"/>
      <c r="AG15" s="116"/>
      <c r="AH15" s="116"/>
      <c r="AI15" s="116"/>
    </row>
    <row r="16" spans="1:35">
      <c r="A16" s="1102"/>
      <c r="B16" s="1038">
        <v>41573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47"/>
      <c r="M16" s="147"/>
      <c r="N16" s="147"/>
      <c r="O16" s="147"/>
      <c r="P16" s="147"/>
      <c r="Q16" s="147"/>
      <c r="R16" s="147"/>
      <c r="S16" s="147"/>
      <c r="T16" s="116"/>
      <c r="U16" s="116"/>
      <c r="V16" s="116"/>
      <c r="W16" s="116"/>
      <c r="X16" s="147"/>
      <c r="Y16" s="147"/>
      <c r="Z16" s="147"/>
      <c r="AA16" s="147"/>
      <c r="AB16" s="147"/>
      <c r="AC16" s="147"/>
      <c r="AD16" s="147"/>
      <c r="AE16" s="147"/>
      <c r="AF16" s="116"/>
      <c r="AG16" s="116"/>
      <c r="AH16" s="116"/>
      <c r="AI16" s="116"/>
    </row>
    <row r="17" spans="1:35">
      <c r="A17" s="1102"/>
      <c r="B17" s="1038">
        <v>41574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058"/>
      <c r="M17" s="1058"/>
      <c r="N17" s="1058"/>
      <c r="O17" s="1058"/>
      <c r="P17" s="1058"/>
      <c r="Q17" s="1058"/>
      <c r="R17" s="1058"/>
      <c r="S17" s="1058"/>
      <c r="T17" s="116"/>
      <c r="U17" s="116"/>
      <c r="V17" s="116"/>
      <c r="W17" s="116"/>
      <c r="X17" s="1058"/>
      <c r="Y17" s="1058"/>
      <c r="Z17" s="1058"/>
      <c r="AA17" s="1058"/>
      <c r="AB17" s="1058"/>
      <c r="AC17" s="1058"/>
      <c r="AD17" s="1058"/>
      <c r="AE17" s="1058"/>
      <c r="AF17" s="116"/>
      <c r="AG17" s="116"/>
      <c r="AH17" s="116"/>
      <c r="AI17" s="116"/>
    </row>
    <row r="18" spans="1:35">
      <c r="A18" s="1102"/>
      <c r="B18" s="1038">
        <v>41575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058"/>
      <c r="M18" s="1058"/>
      <c r="N18" s="1058"/>
      <c r="O18" s="1058"/>
      <c r="P18" s="1058"/>
      <c r="Q18" s="1058"/>
      <c r="R18" s="1058"/>
      <c r="S18" s="1058"/>
      <c r="T18" s="116"/>
      <c r="U18" s="116"/>
      <c r="V18" s="116"/>
      <c r="W18" s="116"/>
      <c r="X18" s="1058"/>
      <c r="Y18" s="1058"/>
      <c r="Z18" s="1058"/>
      <c r="AA18" s="1058"/>
      <c r="AB18" s="1058"/>
      <c r="AC18" s="1058"/>
      <c r="AD18" s="1058"/>
      <c r="AE18" s="1058"/>
      <c r="AF18" s="116"/>
      <c r="AG18" s="116"/>
      <c r="AH18" s="116"/>
      <c r="AI18" s="116"/>
    </row>
    <row r="19" spans="1:35">
      <c r="A19" s="1102"/>
      <c r="B19" s="1038">
        <v>41576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058"/>
      <c r="M19" s="1058"/>
      <c r="N19" s="1058"/>
      <c r="O19" s="1058"/>
      <c r="P19" s="1058"/>
      <c r="Q19" s="1058"/>
      <c r="R19" s="1058"/>
      <c r="S19" s="1058"/>
      <c r="T19" s="116"/>
      <c r="U19" s="116"/>
      <c r="V19" s="116"/>
      <c r="W19" s="116"/>
      <c r="X19" s="1058"/>
      <c r="Y19" s="1058"/>
      <c r="Z19" s="1058"/>
      <c r="AA19" s="1058"/>
      <c r="AB19" s="1058"/>
      <c r="AC19" s="1058"/>
      <c r="AD19" s="1058"/>
      <c r="AE19" s="1058"/>
      <c r="AF19" s="116"/>
      <c r="AG19" s="116"/>
      <c r="AH19" s="116"/>
      <c r="AI19" s="116"/>
    </row>
    <row r="20" spans="1:35">
      <c r="A20" s="1102"/>
      <c r="B20" s="1038">
        <v>41577</v>
      </c>
      <c r="C20" s="116">
        <v>3.32</v>
      </c>
      <c r="D20" s="116">
        <v>76.739999999999995</v>
      </c>
      <c r="E20" s="116">
        <v>37700</v>
      </c>
      <c r="F20" s="116">
        <v>6.48</v>
      </c>
      <c r="G20" s="116"/>
      <c r="H20" s="116">
        <v>3605</v>
      </c>
      <c r="I20" s="116"/>
      <c r="J20" s="116"/>
      <c r="K20" s="116"/>
      <c r="L20" s="1191">
        <v>2.39</v>
      </c>
      <c r="M20" s="1191">
        <v>66.930000000000007</v>
      </c>
      <c r="N20" s="1058">
        <v>25600</v>
      </c>
      <c r="O20" s="1058"/>
      <c r="P20" s="1058">
        <v>1336</v>
      </c>
      <c r="Q20" s="1058"/>
      <c r="R20" s="1058"/>
      <c r="S20" s="1058"/>
      <c r="T20" s="116">
        <v>37.483651582526797</v>
      </c>
      <c r="U20" s="116">
        <v>28.309646205019646</v>
      </c>
      <c r="V20" s="116">
        <v>45.155203696567384</v>
      </c>
      <c r="W20" s="116">
        <v>37.106965612409752</v>
      </c>
      <c r="X20" s="1191">
        <v>2.5299999999999998</v>
      </c>
      <c r="Y20" s="1191">
        <v>62.37</v>
      </c>
      <c r="Z20" s="1058">
        <v>22300</v>
      </c>
      <c r="AA20" s="1058"/>
      <c r="AB20" s="1058">
        <v>2479</v>
      </c>
      <c r="AC20" s="1058"/>
      <c r="AD20" s="1058"/>
      <c r="AE20" s="1058"/>
      <c r="AF20" s="116">
        <v>33.821606068532567</v>
      </c>
      <c r="AG20" s="116">
        <v>36.997076800425198</v>
      </c>
      <c r="AH20" s="116">
        <v>45.898043969149803</v>
      </c>
      <c r="AI20" s="116">
        <v>48.49404498561475</v>
      </c>
    </row>
    <row r="21" spans="1:35">
      <c r="A21" s="1102"/>
      <c r="B21" s="1038">
        <v>41578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058"/>
      <c r="M21" s="1058"/>
      <c r="N21" s="1058"/>
      <c r="O21" s="1058"/>
      <c r="P21" s="1058"/>
      <c r="Q21" s="1058"/>
      <c r="R21" s="1058"/>
      <c r="S21" s="1058"/>
      <c r="T21" s="116"/>
      <c r="U21" s="116"/>
      <c r="V21" s="116"/>
      <c r="W21" s="116"/>
      <c r="X21" s="1058"/>
      <c r="Y21" s="1058"/>
      <c r="Z21" s="1058"/>
      <c r="AA21" s="1058"/>
      <c r="AB21" s="1058"/>
      <c r="AC21" s="1058"/>
      <c r="AD21" s="1058"/>
      <c r="AE21" s="1058"/>
      <c r="AF21" s="116"/>
      <c r="AG21" s="116"/>
      <c r="AH21" s="116"/>
      <c r="AI21" s="116"/>
    </row>
    <row r="22" spans="1:35">
      <c r="A22" s="1102"/>
      <c r="B22" s="1038">
        <v>41579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058"/>
      <c r="M22" s="1058"/>
      <c r="N22" s="1058"/>
      <c r="O22" s="1058"/>
      <c r="P22" s="1058"/>
      <c r="Q22" s="1058"/>
      <c r="R22" s="1058"/>
      <c r="S22" s="1058"/>
      <c r="T22" s="116"/>
      <c r="U22" s="116"/>
      <c r="V22" s="116"/>
      <c r="W22" s="116"/>
      <c r="X22" s="1058"/>
      <c r="Y22" s="1058"/>
      <c r="Z22" s="1058"/>
      <c r="AA22" s="1058"/>
      <c r="AB22" s="1058"/>
      <c r="AC22" s="1058"/>
      <c r="AD22" s="1058"/>
      <c r="AE22" s="1058"/>
      <c r="AF22" s="116"/>
      <c r="AG22" s="116"/>
      <c r="AH22" s="116"/>
      <c r="AI22" s="116"/>
    </row>
    <row r="23" spans="1:35">
      <c r="A23" s="1102"/>
      <c r="B23" s="1038">
        <v>41580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058"/>
      <c r="M23" s="1058"/>
      <c r="N23" s="1058"/>
      <c r="O23" s="1058"/>
      <c r="P23" s="1058"/>
      <c r="Q23" s="1058"/>
      <c r="R23" s="1058"/>
      <c r="S23" s="1058"/>
      <c r="T23" s="116"/>
      <c r="U23" s="116"/>
      <c r="V23" s="116"/>
      <c r="W23" s="116"/>
      <c r="X23" s="1058"/>
      <c r="Y23" s="1058"/>
      <c r="Z23" s="1058"/>
      <c r="AA23" s="1058"/>
      <c r="AB23" s="1058"/>
      <c r="AC23" s="1058"/>
      <c r="AD23" s="1058"/>
      <c r="AE23" s="1058"/>
      <c r="AF23" s="116"/>
      <c r="AG23" s="116"/>
      <c r="AH23" s="116"/>
      <c r="AI23" s="116"/>
    </row>
    <row r="24" spans="1:35">
      <c r="A24" s="1102"/>
      <c r="B24" s="1038">
        <v>41581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058"/>
      <c r="M24" s="1058"/>
      <c r="N24" s="1058"/>
      <c r="O24" s="1058"/>
      <c r="P24" s="1058"/>
      <c r="Q24" s="1058"/>
      <c r="R24" s="1058"/>
      <c r="S24" s="1058"/>
      <c r="T24" s="116"/>
      <c r="U24" s="116"/>
      <c r="V24" s="116"/>
      <c r="W24" s="116"/>
      <c r="X24" s="1058"/>
      <c r="Y24" s="1058"/>
      <c r="Z24" s="1058"/>
      <c r="AA24" s="1058"/>
      <c r="AB24" s="1058"/>
      <c r="AC24" s="1058"/>
      <c r="AD24" s="1058"/>
      <c r="AE24" s="1058"/>
      <c r="AF24" s="116"/>
      <c r="AG24" s="116"/>
      <c r="AH24" s="116"/>
      <c r="AI24" s="116"/>
    </row>
    <row r="25" spans="1:35">
      <c r="A25" s="1102"/>
      <c r="B25" s="1038">
        <v>41582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058"/>
      <c r="M25" s="1058"/>
      <c r="N25" s="1058"/>
      <c r="O25" s="1058"/>
      <c r="P25" s="1058"/>
      <c r="Q25" s="1058"/>
      <c r="R25" s="1058"/>
      <c r="S25" s="1058"/>
      <c r="T25" s="116"/>
      <c r="U25" s="116"/>
      <c r="V25" s="116"/>
      <c r="W25" s="116"/>
      <c r="X25" s="1058"/>
      <c r="Y25" s="1058"/>
      <c r="Z25" s="1058"/>
      <c r="AA25" s="1058"/>
      <c r="AB25" s="1058"/>
      <c r="AC25" s="1058"/>
      <c r="AD25" s="1058"/>
      <c r="AE25" s="1058"/>
      <c r="AF25" s="116"/>
      <c r="AG25" s="116"/>
      <c r="AH25" s="116"/>
      <c r="AI25" s="116"/>
    </row>
    <row r="26" spans="1:35">
      <c r="A26" s="1102"/>
      <c r="B26" s="1038">
        <v>41583</v>
      </c>
      <c r="C26" s="116">
        <v>2.91</v>
      </c>
      <c r="D26" s="116">
        <v>73.23</v>
      </c>
      <c r="E26" s="116"/>
      <c r="F26" s="116">
        <v>7.15</v>
      </c>
      <c r="G26" s="116"/>
      <c r="H26" s="116"/>
      <c r="I26" s="116"/>
      <c r="J26" s="116"/>
      <c r="K26" s="116"/>
      <c r="L26" s="1191">
        <v>2.38</v>
      </c>
      <c r="M26" s="1191">
        <v>66.86</v>
      </c>
      <c r="N26" s="1058"/>
      <c r="O26" s="1058"/>
      <c r="P26" s="1058"/>
      <c r="Q26" s="1058"/>
      <c r="R26" s="1058"/>
      <c r="S26" s="1058"/>
      <c r="T26" s="116">
        <v>35.220468154599885</v>
      </c>
      <c r="U26" s="116">
        <v>27.866626433313215</v>
      </c>
      <c r="V26" s="116">
        <v>43.082206463191376</v>
      </c>
      <c r="W26" s="116">
        <v>36.620837680942522</v>
      </c>
      <c r="X26" s="1191">
        <v>2.5099999999999998</v>
      </c>
      <c r="Y26" s="1191">
        <v>64.37</v>
      </c>
      <c r="Z26" s="1058"/>
      <c r="AA26" s="1058"/>
      <c r="AB26" s="1058"/>
      <c r="AC26" s="1058"/>
      <c r="AD26" s="1058"/>
      <c r="AE26" s="1058"/>
      <c r="AF26" s="116">
        <v>31.682090364725095</v>
      </c>
      <c r="AG26" s="116">
        <v>32.907662082514719</v>
      </c>
      <c r="AH26" s="116">
        <v>42.208767419375171</v>
      </c>
      <c r="AI26" s="116">
        <v>43.245498498606644</v>
      </c>
    </row>
    <row r="27" spans="1:35">
      <c r="A27" s="1102"/>
      <c r="B27" s="1038">
        <v>41584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058"/>
      <c r="M27" s="1058"/>
      <c r="N27" s="1058"/>
      <c r="O27" s="1058"/>
      <c r="P27" s="1058"/>
      <c r="Q27" s="1058"/>
      <c r="R27" s="1058"/>
      <c r="S27" s="1058"/>
      <c r="T27" s="116"/>
      <c r="U27" s="116"/>
      <c r="V27" s="116"/>
      <c r="W27" s="116"/>
      <c r="X27" s="1058"/>
      <c r="Y27" s="1058"/>
      <c r="Z27" s="1058"/>
      <c r="AA27" s="1058"/>
      <c r="AB27" s="1058"/>
      <c r="AC27" s="1058"/>
      <c r="AD27" s="1058"/>
      <c r="AE27" s="1058"/>
      <c r="AF27" s="116"/>
      <c r="AG27" s="116"/>
      <c r="AH27" s="116"/>
      <c r="AI27" s="116"/>
    </row>
    <row r="28" spans="1:35">
      <c r="A28" s="1102"/>
      <c r="B28" s="1038">
        <v>41585</v>
      </c>
      <c r="C28" s="116">
        <v>3.1</v>
      </c>
      <c r="D28" s="116">
        <v>70.900000000000006</v>
      </c>
      <c r="E28" s="116">
        <v>34100</v>
      </c>
      <c r="F28" s="116"/>
      <c r="G28" s="116">
        <v>53.1</v>
      </c>
      <c r="H28" s="116">
        <v>2858</v>
      </c>
      <c r="I28" s="116">
        <v>1075</v>
      </c>
      <c r="J28" s="116">
        <v>48.8</v>
      </c>
      <c r="K28" s="116">
        <v>181</v>
      </c>
      <c r="L28" s="1058">
        <v>2.5</v>
      </c>
      <c r="M28" s="1058">
        <v>65.5</v>
      </c>
      <c r="N28" s="1058">
        <v>24000</v>
      </c>
      <c r="O28" s="1058">
        <v>44</v>
      </c>
      <c r="P28" s="1058">
        <v>1576</v>
      </c>
      <c r="Q28" s="1058">
        <v>410</v>
      </c>
      <c r="R28" s="1058">
        <v>76</v>
      </c>
      <c r="S28" s="1058">
        <v>110</v>
      </c>
      <c r="T28" s="116">
        <v>30.400890868596882</v>
      </c>
      <c r="U28" s="116">
        <v>28.828985507246372</v>
      </c>
      <c r="V28" s="116">
        <v>39.576098824233163</v>
      </c>
      <c r="W28" s="116">
        <v>38.211416784516572</v>
      </c>
      <c r="X28" s="1058">
        <v>2.7</v>
      </c>
      <c r="Y28" s="1058">
        <v>61.6</v>
      </c>
      <c r="Z28" s="1058">
        <v>23800</v>
      </c>
      <c r="AA28" s="1058">
        <v>47.7</v>
      </c>
      <c r="AB28" s="1058">
        <v>3143</v>
      </c>
      <c r="AC28" s="1058">
        <v>683</v>
      </c>
      <c r="AD28" s="1058">
        <v>91.3</v>
      </c>
      <c r="AE28" s="1058">
        <v>89.6</v>
      </c>
      <c r="AF28" s="116">
        <v>24.832962138084628</v>
      </c>
      <c r="AG28" s="116">
        <v>36.057291666666657</v>
      </c>
      <c r="AH28" s="116">
        <v>38.627766451581422</v>
      </c>
      <c r="AI28" s="116">
        <v>47.79218469722273</v>
      </c>
    </row>
    <row r="29" spans="1:35">
      <c r="A29" s="1102"/>
      <c r="B29" s="1038">
        <v>41586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058"/>
      <c r="M29" s="1058"/>
      <c r="N29" s="1058"/>
      <c r="O29" s="1058"/>
      <c r="P29" s="1058"/>
      <c r="Q29" s="1058"/>
      <c r="R29" s="1058"/>
      <c r="S29" s="1058"/>
      <c r="T29" s="116"/>
      <c r="U29" s="116"/>
      <c r="V29" s="116"/>
      <c r="W29" s="116"/>
      <c r="X29" s="1058"/>
      <c r="Y29" s="1058"/>
      <c r="Z29" s="1058"/>
      <c r="AA29" s="1058"/>
      <c r="AB29" s="1058"/>
      <c r="AC29" s="1058"/>
      <c r="AD29" s="1058"/>
      <c r="AE29" s="1058"/>
      <c r="AF29" s="116"/>
      <c r="AG29" s="116"/>
      <c r="AH29" s="116"/>
      <c r="AI29" s="116"/>
    </row>
    <row r="30" spans="1:35">
      <c r="A30" s="1102"/>
      <c r="B30" s="1038">
        <v>41587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058"/>
      <c r="M30" s="1058"/>
      <c r="N30" s="1058"/>
      <c r="O30" s="1058"/>
      <c r="P30" s="1058"/>
      <c r="Q30" s="1058"/>
      <c r="R30" s="1058"/>
      <c r="S30" s="1058"/>
      <c r="T30" s="116"/>
      <c r="U30" s="116"/>
      <c r="V30" s="116"/>
      <c r="W30" s="116"/>
      <c r="X30" s="1058"/>
      <c r="Y30" s="1058"/>
      <c r="Z30" s="1058"/>
      <c r="AA30" s="1058"/>
      <c r="AB30" s="1058"/>
      <c r="AC30" s="1058"/>
      <c r="AD30" s="1058"/>
      <c r="AE30" s="1058"/>
      <c r="AF30" s="116"/>
      <c r="AG30" s="116"/>
      <c r="AH30" s="116"/>
      <c r="AI30" s="116"/>
    </row>
    <row r="31" spans="1:35">
      <c r="A31" s="1102"/>
      <c r="B31" s="1038">
        <v>41588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058"/>
      <c r="M31" s="1058"/>
      <c r="N31" s="1058"/>
      <c r="O31" s="1058"/>
      <c r="P31" s="1058"/>
      <c r="Q31" s="1058"/>
      <c r="R31" s="1058"/>
      <c r="S31" s="1058"/>
      <c r="T31" s="116"/>
      <c r="U31" s="116"/>
      <c r="V31" s="116"/>
      <c r="W31" s="116"/>
      <c r="X31" s="1058"/>
      <c r="Y31" s="1058"/>
      <c r="Z31" s="1058"/>
      <c r="AA31" s="1058"/>
      <c r="AB31" s="1058"/>
      <c r="AC31" s="1058"/>
      <c r="AD31" s="1058"/>
      <c r="AE31" s="1058"/>
      <c r="AF31" s="116"/>
      <c r="AG31" s="116"/>
      <c r="AH31" s="116"/>
      <c r="AI31" s="116"/>
    </row>
    <row r="32" spans="1:35">
      <c r="A32" s="1102"/>
      <c r="B32" s="1038">
        <v>41589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058"/>
      <c r="M32" s="1058"/>
      <c r="N32" s="1058"/>
      <c r="O32" s="1058"/>
      <c r="P32" s="1058"/>
      <c r="Q32" s="1058"/>
      <c r="R32" s="1058"/>
      <c r="S32" s="1058"/>
      <c r="T32" s="116"/>
      <c r="U32" s="116"/>
      <c r="V32" s="116"/>
      <c r="W32" s="116"/>
      <c r="X32" s="1058"/>
      <c r="Y32" s="1058"/>
      <c r="Z32" s="1058"/>
      <c r="AA32" s="1058"/>
      <c r="AB32" s="1058"/>
      <c r="AC32" s="1058"/>
      <c r="AD32" s="1058"/>
      <c r="AE32" s="1058"/>
      <c r="AF32" s="116"/>
      <c r="AG32" s="116"/>
      <c r="AH32" s="116"/>
      <c r="AI32" s="116"/>
    </row>
    <row r="33" spans="1:35">
      <c r="A33" s="1102"/>
      <c r="B33" s="1038">
        <v>41590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058"/>
      <c r="M33" s="1058"/>
      <c r="N33" s="1058"/>
      <c r="O33" s="1058"/>
      <c r="P33" s="1058"/>
      <c r="Q33" s="1058"/>
      <c r="R33" s="1058"/>
      <c r="S33" s="1058"/>
      <c r="T33" s="116"/>
      <c r="U33" s="116"/>
      <c r="V33" s="116"/>
      <c r="W33" s="116"/>
      <c r="X33" s="1058"/>
      <c r="Y33" s="1058"/>
      <c r="Z33" s="1058"/>
      <c r="AA33" s="1058"/>
      <c r="AB33" s="1058"/>
      <c r="AC33" s="1058"/>
      <c r="AD33" s="1058"/>
      <c r="AE33" s="1058"/>
      <c r="AF33" s="116"/>
      <c r="AG33" s="116"/>
      <c r="AH33" s="116"/>
      <c r="AI33" s="116"/>
    </row>
    <row r="34" spans="1:35">
      <c r="A34" s="1102"/>
      <c r="B34" s="1038">
        <v>41591</v>
      </c>
      <c r="C34" s="116">
        <v>2.98</v>
      </c>
      <c r="D34" s="116">
        <v>76.64</v>
      </c>
      <c r="E34" s="116"/>
      <c r="F34" s="116">
        <v>6.55</v>
      </c>
      <c r="G34" s="116"/>
      <c r="H34" s="116"/>
      <c r="I34" s="116"/>
      <c r="J34" s="116"/>
      <c r="K34" s="116"/>
      <c r="L34" s="1191">
        <v>2.41</v>
      </c>
      <c r="M34" s="1191">
        <v>68.38</v>
      </c>
      <c r="N34" s="1058"/>
      <c r="O34" s="1058"/>
      <c r="P34" s="1058"/>
      <c r="Q34" s="1058"/>
      <c r="R34" s="1058"/>
      <c r="S34" s="1058"/>
      <c r="T34" s="116">
        <v>31.920903954802263</v>
      </c>
      <c r="U34" s="116">
        <v>22.991777356103761</v>
      </c>
      <c r="V34" s="116">
        <v>38.463336582014271</v>
      </c>
      <c r="W34" s="116">
        <v>30.392303180573379</v>
      </c>
      <c r="X34" s="1191">
        <v>2.56</v>
      </c>
      <c r="Y34" s="1191">
        <v>61.39</v>
      </c>
      <c r="Z34" s="1058"/>
      <c r="AA34" s="1058"/>
      <c r="AB34" s="1058"/>
      <c r="AC34" s="1058"/>
      <c r="AD34" s="1058"/>
      <c r="AE34" s="1058"/>
      <c r="AF34" s="116">
        <v>27.683615819209049</v>
      </c>
      <c r="AG34" s="116">
        <v>36.933436933436944</v>
      </c>
      <c r="AH34" s="116">
        <v>41.315230338945717</v>
      </c>
      <c r="AI34" s="116">
        <v>48.82146322992326</v>
      </c>
    </row>
    <row r="35" spans="1:35">
      <c r="A35" s="1102"/>
      <c r="B35" s="1038">
        <v>41592</v>
      </c>
      <c r="C35" s="116">
        <v>3.7</v>
      </c>
      <c r="D35" s="116">
        <v>76.599999999999994</v>
      </c>
      <c r="E35" s="116">
        <v>38000</v>
      </c>
      <c r="F35" s="116"/>
      <c r="G35" s="116"/>
      <c r="H35" s="116">
        <v>4768</v>
      </c>
      <c r="I35" s="116"/>
      <c r="J35" s="116"/>
      <c r="K35" s="116"/>
      <c r="L35" s="1058">
        <v>2.5</v>
      </c>
      <c r="M35" s="1058">
        <v>66.7</v>
      </c>
      <c r="N35" s="1058">
        <v>24900</v>
      </c>
      <c r="O35" s="1058"/>
      <c r="P35" s="1058">
        <v>1625</v>
      </c>
      <c r="Q35" s="1058"/>
      <c r="R35" s="1058"/>
      <c r="S35" s="1058"/>
      <c r="T35" s="116">
        <v>28.263988522238179</v>
      </c>
      <c r="U35" s="116">
        <v>27.43543543543543</v>
      </c>
      <c r="V35" s="116">
        <v>36.906060900275421</v>
      </c>
      <c r="W35" s="116">
        <v>36.177324008960689</v>
      </c>
      <c r="X35" s="1058">
        <v>2.6</v>
      </c>
      <c r="Y35" s="1058">
        <v>61.6</v>
      </c>
      <c r="Z35" s="1058">
        <v>24500</v>
      </c>
      <c r="AA35" s="1058"/>
      <c r="AB35" s="1058">
        <v>3352</v>
      </c>
      <c r="AC35" s="1058"/>
      <c r="AD35" s="1058"/>
      <c r="AE35" s="1058"/>
      <c r="AF35" s="116">
        <v>25.394548063127704</v>
      </c>
      <c r="AG35" s="116">
        <v>37.072916666666657</v>
      </c>
      <c r="AH35" s="116">
        <v>39.399548508474425</v>
      </c>
      <c r="AI35" s="116">
        <v>48.885643581764157</v>
      </c>
    </row>
    <row r="36" spans="1:35">
      <c r="A36" s="1102"/>
      <c r="B36" s="1038">
        <v>41593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058"/>
      <c r="M36" s="1058"/>
      <c r="N36" s="1058"/>
      <c r="O36" s="1058"/>
      <c r="P36" s="1058"/>
      <c r="Q36" s="1058"/>
      <c r="R36" s="1058"/>
      <c r="S36" s="1058"/>
      <c r="T36" s="116"/>
      <c r="U36" s="116"/>
      <c r="V36" s="116"/>
      <c r="W36" s="116"/>
      <c r="X36" s="1058"/>
      <c r="Y36" s="1058"/>
      <c r="Z36" s="1058"/>
      <c r="AA36" s="1058"/>
      <c r="AB36" s="1058"/>
      <c r="AC36" s="1058"/>
      <c r="AD36" s="1058"/>
      <c r="AE36" s="1058"/>
      <c r="AF36" s="116"/>
      <c r="AG36" s="116"/>
      <c r="AH36" s="116"/>
      <c r="AI36" s="116"/>
    </row>
    <row r="37" spans="1:35">
      <c r="A37" s="1102"/>
      <c r="B37" s="1038">
        <v>41594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058"/>
      <c r="M37" s="1058"/>
      <c r="N37" s="1058"/>
      <c r="O37" s="1058"/>
      <c r="P37" s="1058"/>
      <c r="Q37" s="1058"/>
      <c r="R37" s="1058"/>
      <c r="S37" s="1058"/>
      <c r="T37" s="116"/>
      <c r="U37" s="116"/>
      <c r="V37" s="116"/>
      <c r="W37" s="116"/>
      <c r="X37" s="1058"/>
      <c r="Y37" s="1058"/>
      <c r="Z37" s="1058"/>
      <c r="AA37" s="1058"/>
      <c r="AB37" s="1058"/>
      <c r="AC37" s="1058"/>
      <c r="AD37" s="1058"/>
      <c r="AE37" s="1058"/>
      <c r="AF37" s="116"/>
      <c r="AG37" s="116"/>
      <c r="AH37" s="116"/>
      <c r="AI37" s="116"/>
    </row>
    <row r="38" spans="1:35">
      <c r="A38" s="1102"/>
      <c r="B38" s="1038">
        <v>41595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062"/>
      <c r="M38" s="1062"/>
      <c r="N38" s="1062"/>
      <c r="O38" s="1062"/>
      <c r="P38" s="1062"/>
      <c r="Q38" s="1062"/>
      <c r="R38" s="1062"/>
      <c r="S38" s="1062"/>
      <c r="T38" s="116"/>
      <c r="U38" s="116"/>
      <c r="V38" s="116"/>
      <c r="W38" s="116"/>
      <c r="X38" s="1062"/>
      <c r="Y38" s="1062"/>
      <c r="Z38" s="1062"/>
      <c r="AA38" s="1062"/>
      <c r="AB38" s="1062"/>
      <c r="AC38" s="1062"/>
      <c r="AD38" s="1062"/>
      <c r="AE38" s="1062"/>
      <c r="AF38" s="116"/>
      <c r="AG38" s="116"/>
      <c r="AH38" s="116"/>
      <c r="AI38" s="116"/>
    </row>
    <row r="39" spans="1:35">
      <c r="A39" s="1102"/>
      <c r="B39" s="1038">
        <v>41596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062"/>
      <c r="M39" s="1062"/>
      <c r="N39" s="1062"/>
      <c r="O39" s="1062"/>
      <c r="P39" s="1062"/>
      <c r="Q39" s="1062"/>
      <c r="R39" s="1062"/>
      <c r="S39" s="1062"/>
      <c r="T39" s="116"/>
      <c r="U39" s="116"/>
      <c r="V39" s="116"/>
      <c r="W39" s="116"/>
      <c r="X39" s="1062"/>
      <c r="Y39" s="1062"/>
      <c r="Z39" s="1062"/>
      <c r="AA39" s="1062"/>
      <c r="AB39" s="1062"/>
      <c r="AC39" s="1062"/>
      <c r="AD39" s="1062"/>
      <c r="AE39" s="1062"/>
      <c r="AF39" s="116"/>
      <c r="AG39" s="116"/>
      <c r="AH39" s="116"/>
      <c r="AI39" s="116"/>
    </row>
    <row r="40" spans="1:35">
      <c r="A40" s="1102"/>
      <c r="B40" s="1038">
        <v>41597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062"/>
      <c r="M40" s="1062"/>
      <c r="N40" s="1062"/>
      <c r="O40" s="1062"/>
      <c r="P40" s="1062"/>
      <c r="Q40" s="1062"/>
      <c r="R40" s="1062"/>
      <c r="S40" s="1062"/>
      <c r="T40" s="116"/>
      <c r="U40" s="116"/>
      <c r="V40" s="116"/>
      <c r="W40" s="116"/>
      <c r="X40" s="1062"/>
      <c r="Y40" s="1062"/>
      <c r="Z40" s="1062"/>
      <c r="AA40" s="1062"/>
      <c r="AB40" s="1062"/>
      <c r="AC40" s="1062"/>
      <c r="AD40" s="1062"/>
      <c r="AE40" s="1062"/>
      <c r="AF40" s="116"/>
      <c r="AG40" s="116"/>
      <c r="AH40" s="116"/>
      <c r="AI40" s="116"/>
    </row>
    <row r="41" spans="1:35">
      <c r="A41" s="1102"/>
      <c r="B41" s="1038">
        <v>41598</v>
      </c>
      <c r="C41" s="116">
        <v>3.22</v>
      </c>
      <c r="D41" s="116">
        <v>77.28</v>
      </c>
      <c r="E41" s="116"/>
      <c r="F41" s="116">
        <v>6.27</v>
      </c>
      <c r="G41" s="116"/>
      <c r="H41" s="116"/>
      <c r="I41" s="116"/>
      <c r="J41" s="116"/>
      <c r="K41" s="116"/>
      <c r="L41" s="1192">
        <v>2.42</v>
      </c>
      <c r="M41" s="1192">
        <v>67.5</v>
      </c>
      <c r="N41" s="1062"/>
      <c r="O41" s="1062"/>
      <c r="P41" s="1062"/>
      <c r="Q41" s="1062"/>
      <c r="R41" s="1062"/>
      <c r="S41" s="1062"/>
      <c r="T41" s="116">
        <v>28.125928125928127</v>
      </c>
      <c r="U41" s="116">
        <v>25.889230769230775</v>
      </c>
      <c r="V41" s="116">
        <v>36.092158870566017</v>
      </c>
      <c r="W41" s="116">
        <v>34.103367981177087</v>
      </c>
      <c r="X41" s="1192">
        <v>2.59</v>
      </c>
      <c r="Y41" s="1192">
        <v>60.76</v>
      </c>
      <c r="Z41" s="1062"/>
      <c r="AA41" s="1062"/>
      <c r="AB41" s="1062"/>
      <c r="AC41" s="1062"/>
      <c r="AD41" s="1062"/>
      <c r="AE41" s="1062"/>
      <c r="AF41" s="116">
        <v>23.076923076923084</v>
      </c>
      <c r="AG41" s="116">
        <v>38.618756371049955</v>
      </c>
      <c r="AH41" s="116">
        <v>38.432355641302621</v>
      </c>
      <c r="AI41" s="116">
        <v>50.871718485457166</v>
      </c>
    </row>
    <row r="42" spans="1:35">
      <c r="A42" s="1102"/>
      <c r="B42" s="1038">
        <v>41599</v>
      </c>
      <c r="C42" s="116">
        <v>3.2</v>
      </c>
      <c r="D42" s="116">
        <v>76.3</v>
      </c>
      <c r="E42" s="116">
        <v>39700</v>
      </c>
      <c r="F42" s="116"/>
      <c r="G42" s="116">
        <v>45.8</v>
      </c>
      <c r="H42" s="116">
        <v>3973</v>
      </c>
      <c r="I42" s="116">
        <v>2017</v>
      </c>
      <c r="J42" s="116">
        <v>39</v>
      </c>
      <c r="K42" s="116">
        <v>215</v>
      </c>
      <c r="L42" s="1062">
        <v>2.4</v>
      </c>
      <c r="M42" s="1062">
        <v>66.8</v>
      </c>
      <c r="N42" s="1062">
        <v>25400</v>
      </c>
      <c r="O42" s="1062">
        <v>39.799999999999997</v>
      </c>
      <c r="P42" s="1062">
        <v>1770</v>
      </c>
      <c r="Q42" s="1062">
        <v>523</v>
      </c>
      <c r="R42" s="1062">
        <v>80.7</v>
      </c>
      <c r="S42" s="1062">
        <v>111</v>
      </c>
      <c r="T42" s="116">
        <v>27.16236722306526</v>
      </c>
      <c r="U42" s="116">
        <v>26.834337349397565</v>
      </c>
      <c r="V42" s="116">
        <v>35.73348123077519</v>
      </c>
      <c r="W42" s="116">
        <v>35.444052027364734</v>
      </c>
      <c r="X42" s="1062">
        <v>2.6</v>
      </c>
      <c r="Y42" s="1062">
        <v>62.1</v>
      </c>
      <c r="Z42" s="1062">
        <v>23500</v>
      </c>
      <c r="AA42" s="1062">
        <v>39.4</v>
      </c>
      <c r="AB42" s="1062">
        <v>3388</v>
      </c>
      <c r="AC42" s="1062">
        <v>777</v>
      </c>
      <c r="AD42" s="1062">
        <v>88.2</v>
      </c>
      <c r="AE42" s="1062">
        <v>101</v>
      </c>
      <c r="AF42" s="116">
        <v>21.092564491654027</v>
      </c>
      <c r="AG42" s="116">
        <v>35.907651715039549</v>
      </c>
      <c r="AH42" s="116">
        <v>35.276496254497012</v>
      </c>
      <c r="AI42" s="116">
        <v>47.428511425378161</v>
      </c>
    </row>
    <row r="43" spans="1:35">
      <c r="A43" s="1102"/>
      <c r="B43" s="1038">
        <v>41600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062"/>
      <c r="M43" s="1062"/>
      <c r="N43" s="1062"/>
      <c r="O43" s="1062"/>
      <c r="P43" s="1062"/>
      <c r="Q43" s="1062"/>
      <c r="R43" s="1062"/>
      <c r="S43" s="1062"/>
      <c r="T43" s="116"/>
      <c r="U43" s="116"/>
      <c r="V43" s="116"/>
      <c r="W43" s="116"/>
      <c r="X43" s="1062"/>
      <c r="Y43" s="1062"/>
      <c r="Z43" s="1062"/>
      <c r="AA43" s="1062"/>
      <c r="AB43" s="1062"/>
      <c r="AC43" s="1062"/>
      <c r="AD43" s="1062"/>
      <c r="AE43" s="1062"/>
      <c r="AF43" s="116"/>
      <c r="AG43" s="116"/>
      <c r="AH43" s="116"/>
      <c r="AI43" s="116"/>
    </row>
    <row r="44" spans="1:35">
      <c r="A44" s="1102"/>
      <c r="B44" s="1038">
        <v>41601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062"/>
      <c r="M44" s="1062"/>
      <c r="N44" s="1062"/>
      <c r="O44" s="1062"/>
      <c r="P44" s="1062"/>
      <c r="Q44" s="1062"/>
      <c r="R44" s="1062"/>
      <c r="S44" s="1062"/>
      <c r="T44" s="116"/>
      <c r="U44" s="116"/>
      <c r="V44" s="116"/>
      <c r="W44" s="116"/>
      <c r="X44" s="1062"/>
      <c r="Y44" s="1062"/>
      <c r="Z44" s="1062"/>
      <c r="AA44" s="1062"/>
      <c r="AB44" s="1062"/>
      <c r="AC44" s="1062"/>
      <c r="AD44" s="1062"/>
      <c r="AE44" s="1062"/>
      <c r="AF44" s="116"/>
      <c r="AG44" s="116"/>
      <c r="AH44" s="116"/>
      <c r="AI44" s="116"/>
    </row>
    <row r="45" spans="1:35">
      <c r="A45" s="1102"/>
      <c r="B45" s="1038">
        <v>41602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062"/>
      <c r="M45" s="1062"/>
      <c r="N45" s="1062"/>
      <c r="O45" s="1062"/>
      <c r="P45" s="1062"/>
      <c r="Q45" s="1062"/>
      <c r="R45" s="1062"/>
      <c r="S45" s="1062"/>
      <c r="T45" s="116"/>
      <c r="U45" s="116"/>
      <c r="V45" s="116"/>
      <c r="W45" s="116"/>
      <c r="X45" s="1062"/>
      <c r="Y45" s="1062"/>
      <c r="Z45" s="1062"/>
      <c r="AA45" s="1062"/>
      <c r="AB45" s="1062"/>
      <c r="AC45" s="1062"/>
      <c r="AD45" s="1062"/>
      <c r="AE45" s="1062"/>
      <c r="AF45" s="116"/>
      <c r="AG45" s="116"/>
      <c r="AH45" s="116"/>
      <c r="AI45" s="116"/>
    </row>
    <row r="46" spans="1:35">
      <c r="A46" s="1102"/>
      <c r="B46" s="1038">
        <v>41603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062"/>
      <c r="M46" s="1062"/>
      <c r="N46" s="1062"/>
      <c r="O46" s="1062"/>
      <c r="P46" s="1062"/>
      <c r="Q46" s="1062"/>
      <c r="R46" s="1062"/>
      <c r="S46" s="1062"/>
      <c r="T46" s="116"/>
      <c r="U46" s="116"/>
      <c r="V46" s="116"/>
      <c r="W46" s="116"/>
      <c r="X46" s="1062"/>
      <c r="Y46" s="1062"/>
      <c r="Z46" s="1062"/>
      <c r="AA46" s="1062"/>
      <c r="AB46" s="1062"/>
      <c r="AC46" s="1062"/>
      <c r="AD46" s="1062"/>
      <c r="AE46" s="1062"/>
      <c r="AF46" s="116"/>
      <c r="AG46" s="116"/>
      <c r="AH46" s="116"/>
      <c r="AI46" s="116"/>
    </row>
    <row r="47" spans="1:35">
      <c r="A47" s="1102"/>
      <c r="B47" s="1038">
        <v>41604</v>
      </c>
      <c r="C47" s="116">
        <v>3.96</v>
      </c>
      <c r="D47" s="116">
        <v>79.38</v>
      </c>
      <c r="E47" s="116"/>
      <c r="F47" s="116">
        <v>6.12</v>
      </c>
      <c r="G47" s="116"/>
      <c r="H47" s="116"/>
      <c r="I47" s="116"/>
      <c r="J47" s="116"/>
      <c r="K47" s="116"/>
      <c r="L47" s="1192">
        <v>2.37</v>
      </c>
      <c r="M47" s="1192">
        <v>68.44</v>
      </c>
      <c r="N47" s="1062"/>
      <c r="O47" s="1062"/>
      <c r="P47" s="1062"/>
      <c r="Q47" s="1062"/>
      <c r="R47" s="1062"/>
      <c r="S47" s="1062"/>
      <c r="T47" s="116">
        <v>28.420416792509812</v>
      </c>
      <c r="U47" s="116">
        <v>23.754752851710982</v>
      </c>
      <c r="V47" s="116">
        <v>35.487223952478644</v>
      </c>
      <c r="W47" s="116">
        <v>31.282185037216358</v>
      </c>
      <c r="X47" s="1192">
        <v>2.5499999999999998</v>
      </c>
      <c r="Y47" s="1192">
        <v>61.54</v>
      </c>
      <c r="Z47" s="1062"/>
      <c r="AA47" s="1062"/>
      <c r="AB47" s="1062"/>
      <c r="AC47" s="1062"/>
      <c r="AD47" s="1062"/>
      <c r="AE47" s="1062"/>
      <c r="AF47" s="116">
        <v>22.983992751434617</v>
      </c>
      <c r="AG47" s="116">
        <v>37.433697347893883</v>
      </c>
      <c r="AH47" s="116">
        <v>37.585563215866898</v>
      </c>
      <c r="AI47" s="116">
        <v>49.295728495850355</v>
      </c>
    </row>
    <row r="48" spans="1:35">
      <c r="A48" s="1102"/>
      <c r="B48" s="1038">
        <v>41605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062"/>
      <c r="M48" s="1062"/>
      <c r="N48" s="1062"/>
      <c r="O48" s="1062"/>
      <c r="P48" s="1062"/>
      <c r="Q48" s="1062"/>
      <c r="R48" s="1062"/>
      <c r="S48" s="1062"/>
      <c r="T48" s="116"/>
      <c r="U48" s="116"/>
      <c r="V48" s="116"/>
      <c r="W48" s="116"/>
      <c r="X48" s="1062"/>
      <c r="Y48" s="1062"/>
      <c r="Z48" s="1062"/>
      <c r="AA48" s="1062"/>
      <c r="AB48" s="1062"/>
      <c r="AC48" s="1062"/>
      <c r="AD48" s="1062"/>
      <c r="AE48" s="1062"/>
      <c r="AF48" s="116"/>
      <c r="AG48" s="116"/>
      <c r="AH48" s="116"/>
      <c r="AI48" s="116"/>
    </row>
    <row r="49" spans="1:35">
      <c r="A49" s="1102"/>
      <c r="B49" s="1038">
        <v>41606</v>
      </c>
      <c r="C49" s="116">
        <v>3.7</v>
      </c>
      <c r="D49" s="116">
        <v>76.7</v>
      </c>
      <c r="E49" s="116">
        <v>39900</v>
      </c>
      <c r="F49" s="116"/>
      <c r="G49" s="116"/>
      <c r="H49" s="116">
        <v>3793</v>
      </c>
      <c r="I49" s="116"/>
      <c r="J49" s="116"/>
      <c r="K49" s="116"/>
      <c r="L49" s="1062">
        <v>2.4</v>
      </c>
      <c r="M49" s="1062">
        <v>66.599999999999994</v>
      </c>
      <c r="N49" s="1062">
        <v>22500</v>
      </c>
      <c r="O49" s="1062"/>
      <c r="P49" s="1062">
        <v>1479</v>
      </c>
      <c r="Q49" s="1062"/>
      <c r="R49" s="1062"/>
      <c r="S49" s="1062"/>
      <c r="T49" s="116">
        <v>28.336816960286662</v>
      </c>
      <c r="U49" s="116">
        <v>27.565868263473025</v>
      </c>
      <c r="V49" s="116">
        <v>37.040537279605992</v>
      </c>
      <c r="W49" s="116">
        <v>36.363222741267997</v>
      </c>
      <c r="X49" s="1062">
        <v>2.5</v>
      </c>
      <c r="Y49" s="1062">
        <v>64.400000000000006</v>
      </c>
      <c r="Z49" s="1062">
        <v>24100</v>
      </c>
      <c r="AA49" s="1062"/>
      <c r="AB49" s="1062">
        <v>2971</v>
      </c>
      <c r="AC49" s="1062"/>
      <c r="AD49" s="1062"/>
      <c r="AE49" s="1062"/>
      <c r="AF49" s="116">
        <v>25.350851000298601</v>
      </c>
      <c r="AG49" s="116">
        <v>32.042134831460636</v>
      </c>
      <c r="AH49" s="116">
        <v>36.583624261865388</v>
      </c>
      <c r="AI49" s="116">
        <v>42.268042306727125</v>
      </c>
    </row>
    <row r="50" spans="1:35">
      <c r="A50" s="1102"/>
      <c r="B50" s="1038">
        <v>41607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062"/>
      <c r="M50" s="1062"/>
      <c r="N50" s="1062"/>
      <c r="O50" s="1062"/>
      <c r="P50" s="1062"/>
      <c r="Q50" s="1062"/>
      <c r="R50" s="1062"/>
      <c r="S50" s="1062"/>
      <c r="T50" s="116"/>
      <c r="U50" s="116"/>
      <c r="V50" s="116"/>
      <c r="W50" s="116"/>
      <c r="X50" s="1062"/>
      <c r="Y50" s="1062"/>
      <c r="Z50" s="1062"/>
      <c r="AA50" s="1062"/>
      <c r="AB50" s="1062"/>
      <c r="AC50" s="1062"/>
      <c r="AD50" s="1062"/>
      <c r="AE50" s="1062"/>
      <c r="AF50" s="116"/>
      <c r="AG50" s="116"/>
      <c r="AH50" s="116"/>
      <c r="AI50" s="116"/>
    </row>
    <row r="51" spans="1:35">
      <c r="A51" s="1102"/>
      <c r="B51" s="1038">
        <v>41608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062"/>
      <c r="M51" s="1062"/>
      <c r="N51" s="1062"/>
      <c r="O51" s="1062"/>
      <c r="P51" s="1062"/>
      <c r="Q51" s="1062"/>
      <c r="R51" s="1062"/>
      <c r="S51" s="1062"/>
      <c r="T51" s="116"/>
      <c r="U51" s="116"/>
      <c r="V51" s="116"/>
      <c r="W51" s="116"/>
      <c r="X51" s="1062"/>
      <c r="Y51" s="1062"/>
      <c r="Z51" s="1062"/>
      <c r="AA51" s="1062"/>
      <c r="AB51" s="1062"/>
      <c r="AC51" s="1062"/>
      <c r="AD51" s="1062"/>
      <c r="AE51" s="1062"/>
      <c r="AF51" s="116"/>
      <c r="AG51" s="116"/>
      <c r="AH51" s="116"/>
      <c r="AI51" s="116"/>
    </row>
    <row r="52" spans="1:35">
      <c r="A52" s="1102"/>
      <c r="B52" s="1038">
        <v>41609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062"/>
      <c r="M52" s="1062"/>
      <c r="N52" s="1062"/>
      <c r="O52" s="1062"/>
      <c r="P52" s="1062"/>
      <c r="Q52" s="1062"/>
      <c r="R52" s="1062"/>
      <c r="S52" s="1062"/>
      <c r="T52" s="116"/>
      <c r="U52" s="116"/>
      <c r="V52" s="116"/>
      <c r="W52" s="116"/>
      <c r="X52" s="1062"/>
      <c r="Y52" s="1062"/>
      <c r="Z52" s="1062"/>
      <c r="AA52" s="1062"/>
      <c r="AB52" s="1062"/>
      <c r="AC52" s="1062"/>
      <c r="AD52" s="1062"/>
      <c r="AE52" s="1062"/>
      <c r="AF52" s="116"/>
      <c r="AG52" s="116"/>
      <c r="AH52" s="116"/>
      <c r="AI52" s="116"/>
    </row>
    <row r="53" spans="1:35">
      <c r="A53" s="1102"/>
      <c r="B53" s="1038">
        <v>41610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062"/>
      <c r="M53" s="1062"/>
      <c r="N53" s="1062"/>
      <c r="O53" s="1062"/>
      <c r="P53" s="1062"/>
      <c r="Q53" s="1062"/>
      <c r="R53" s="1062"/>
      <c r="S53" s="1062"/>
      <c r="T53" s="116"/>
      <c r="U53" s="116"/>
      <c r="V53" s="116"/>
      <c r="W53" s="116"/>
      <c r="X53" s="1062"/>
      <c r="Y53" s="1062"/>
      <c r="Z53" s="1062"/>
      <c r="AA53" s="1062"/>
      <c r="AB53" s="1062"/>
      <c r="AC53" s="1062"/>
      <c r="AD53" s="1062"/>
      <c r="AE53" s="1062"/>
      <c r="AF53" s="116"/>
      <c r="AG53" s="116"/>
      <c r="AH53" s="116"/>
      <c r="AI53" s="116"/>
    </row>
    <row r="54" spans="1:35">
      <c r="A54" s="1102"/>
      <c r="B54" s="1038">
        <v>41611</v>
      </c>
      <c r="C54" s="116">
        <v>3.17</v>
      </c>
      <c r="D54" s="116">
        <v>77.39</v>
      </c>
      <c r="E54" s="116"/>
      <c r="F54" s="116">
        <v>6.32</v>
      </c>
      <c r="G54" s="116"/>
      <c r="H54" s="116"/>
      <c r="I54" s="116"/>
      <c r="J54" s="116"/>
      <c r="K54" s="116"/>
      <c r="L54" s="1192">
        <v>2.33</v>
      </c>
      <c r="M54" s="1192">
        <v>68.099999999999994</v>
      </c>
      <c r="N54" s="1062"/>
      <c r="O54" s="1062"/>
      <c r="P54" s="1062"/>
      <c r="Q54" s="1062"/>
      <c r="R54" s="1062"/>
      <c r="S54" s="1062"/>
      <c r="T54" s="116">
        <v>29.945880938063752</v>
      </c>
      <c r="U54" s="116">
        <v>25.12852664576808</v>
      </c>
      <c r="V54" s="116">
        <v>37.323486413922723</v>
      </c>
      <c r="W54" s="116">
        <v>33.013461881559827</v>
      </c>
      <c r="X54" s="1192">
        <v>2.6</v>
      </c>
      <c r="Y54" s="1192">
        <v>61.31</v>
      </c>
      <c r="Z54" s="1062"/>
      <c r="AA54" s="1062"/>
      <c r="AB54" s="1062"/>
      <c r="AC54" s="1062"/>
      <c r="AD54" s="1062"/>
      <c r="AE54" s="1062"/>
      <c r="AF54" s="116">
        <v>21.828021647624784</v>
      </c>
      <c r="AG54" s="116">
        <v>38.268286378909309</v>
      </c>
      <c r="AH54" s="116">
        <v>37.03394827915124</v>
      </c>
      <c r="AI54" s="116">
        <v>50.276270927149753</v>
      </c>
    </row>
    <row r="55" spans="1:35">
      <c r="A55" s="1102"/>
      <c r="B55" s="1038">
        <v>41612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062"/>
      <c r="M55" s="1062"/>
      <c r="N55" s="1062"/>
      <c r="O55" s="1062"/>
      <c r="P55" s="1062"/>
      <c r="Q55" s="1062"/>
      <c r="R55" s="1062"/>
      <c r="S55" s="1062"/>
      <c r="T55" s="116"/>
      <c r="U55" s="116"/>
      <c r="V55" s="116"/>
      <c r="W55" s="116"/>
      <c r="X55" s="1062"/>
      <c r="Y55" s="1062"/>
      <c r="Z55" s="1062"/>
      <c r="AA55" s="1062"/>
      <c r="AB55" s="1062"/>
      <c r="AC55" s="1062"/>
      <c r="AD55" s="1062"/>
      <c r="AE55" s="1062"/>
      <c r="AF55" s="116"/>
      <c r="AG55" s="116"/>
      <c r="AH55" s="116"/>
      <c r="AI55" s="116"/>
    </row>
    <row r="56" spans="1:35">
      <c r="A56" s="1102"/>
      <c r="B56" s="1038">
        <v>41613</v>
      </c>
      <c r="C56" s="116">
        <v>3.1</v>
      </c>
      <c r="D56" s="116">
        <v>75.599999999999994</v>
      </c>
      <c r="E56" s="116">
        <v>34000</v>
      </c>
      <c r="F56" s="116"/>
      <c r="G56" s="116">
        <v>46</v>
      </c>
      <c r="H56" s="116">
        <v>4075</v>
      </c>
      <c r="I56" s="116">
        <v>2046</v>
      </c>
      <c r="J56" s="116">
        <v>40.700000000000003</v>
      </c>
      <c r="K56" s="116">
        <v>170</v>
      </c>
      <c r="L56" s="1062">
        <v>2.4</v>
      </c>
      <c r="M56" s="1062">
        <v>67.5</v>
      </c>
      <c r="N56" s="1062">
        <v>24700</v>
      </c>
      <c r="O56" s="1062">
        <v>40.299999999999997</v>
      </c>
      <c r="P56" s="1062">
        <v>1666</v>
      </c>
      <c r="Q56" s="1062">
        <v>591</v>
      </c>
      <c r="R56" s="1062">
        <v>70.900000000000006</v>
      </c>
      <c r="S56" s="1062">
        <v>92.5</v>
      </c>
      <c r="T56" s="116">
        <v>27.360774818401936</v>
      </c>
      <c r="U56" s="116">
        <v>26.159999999999982</v>
      </c>
      <c r="V56" s="116">
        <v>35.486596408543591</v>
      </c>
      <c r="W56" s="116">
        <v>34.420146838241081</v>
      </c>
      <c r="X56" s="1062">
        <v>2.6</v>
      </c>
      <c r="Y56" s="1062">
        <v>62.3</v>
      </c>
      <c r="Z56" s="1062">
        <v>22700</v>
      </c>
      <c r="AA56" s="1062">
        <v>44.4</v>
      </c>
      <c r="AB56" s="1062">
        <v>2970</v>
      </c>
      <c r="AC56" s="1062">
        <v>822</v>
      </c>
      <c r="AD56" s="1062">
        <v>85.1</v>
      </c>
      <c r="AE56" s="1062">
        <v>77.3</v>
      </c>
      <c r="AF56" s="116">
        <v>21.30750605326876</v>
      </c>
      <c r="AG56" s="116">
        <v>36.344827586206883</v>
      </c>
      <c r="AH56" s="116">
        <v>35.494561026270944</v>
      </c>
      <c r="AI56" s="116">
        <v>47.820883116506003</v>
      </c>
    </row>
    <row r="57" spans="1:35">
      <c r="A57" s="1102"/>
      <c r="B57" s="1038">
        <v>41614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062"/>
      <c r="M57" s="1062"/>
      <c r="N57" s="1062"/>
      <c r="O57" s="1062"/>
      <c r="P57" s="1062"/>
      <c r="Q57" s="1062"/>
      <c r="R57" s="1062"/>
      <c r="S57" s="1062"/>
      <c r="T57" s="116"/>
      <c r="U57" s="116"/>
      <c r="V57" s="116"/>
      <c r="W57" s="116"/>
      <c r="X57" s="1062"/>
      <c r="Y57" s="1062"/>
      <c r="Z57" s="1062"/>
      <c r="AA57" s="1062"/>
      <c r="AB57" s="1062"/>
      <c r="AC57" s="1062"/>
      <c r="AD57" s="1062"/>
      <c r="AE57" s="1062"/>
      <c r="AF57" s="116"/>
      <c r="AG57" s="116"/>
      <c r="AH57" s="116"/>
      <c r="AI57" s="116"/>
    </row>
    <row r="58" spans="1:35">
      <c r="A58" s="1102"/>
      <c r="B58" s="1038">
        <v>41615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062"/>
      <c r="M58" s="1062"/>
      <c r="N58" s="1062"/>
      <c r="O58" s="1062"/>
      <c r="P58" s="1062"/>
      <c r="Q58" s="1062"/>
      <c r="R58" s="1062"/>
      <c r="S58" s="1062"/>
      <c r="T58" s="116"/>
      <c r="U58" s="116"/>
      <c r="V58" s="116"/>
      <c r="W58" s="116"/>
      <c r="X58" s="1062"/>
      <c r="Y58" s="1062"/>
      <c r="Z58" s="1062"/>
      <c r="AA58" s="1062"/>
      <c r="AB58" s="1062"/>
      <c r="AC58" s="1062"/>
      <c r="AD58" s="1062"/>
      <c r="AE58" s="1062"/>
      <c r="AF58" s="116"/>
      <c r="AG58" s="116"/>
      <c r="AH58" s="116"/>
      <c r="AI58" s="116"/>
    </row>
    <row r="59" spans="1:35">
      <c r="A59" s="1102"/>
      <c r="B59" s="1038">
        <v>41616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062"/>
      <c r="M59" s="1062"/>
      <c r="N59" s="1062"/>
      <c r="O59" s="1062"/>
      <c r="P59" s="1062"/>
      <c r="Q59" s="1062"/>
      <c r="R59" s="1062"/>
      <c r="S59" s="1062"/>
      <c r="T59" s="116"/>
      <c r="U59" s="116"/>
      <c r="V59" s="116"/>
      <c r="W59" s="116"/>
      <c r="X59" s="1062"/>
      <c r="Y59" s="1062"/>
      <c r="Z59" s="1062"/>
      <c r="AA59" s="1062"/>
      <c r="AB59" s="1062"/>
      <c r="AC59" s="1062"/>
      <c r="AD59" s="1062"/>
      <c r="AE59" s="1062"/>
      <c r="AF59" s="116"/>
      <c r="AG59" s="116"/>
      <c r="AH59" s="116"/>
      <c r="AI59" s="116"/>
    </row>
    <row r="60" spans="1:35">
      <c r="A60" s="1102"/>
      <c r="B60" s="1038">
        <v>41617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062"/>
      <c r="M60" s="1062"/>
      <c r="N60" s="1062"/>
      <c r="O60" s="1062"/>
      <c r="P60" s="1062"/>
      <c r="Q60" s="1062"/>
      <c r="R60" s="1062"/>
      <c r="S60" s="1062"/>
      <c r="T60" s="116"/>
      <c r="U60" s="116"/>
      <c r="V60" s="116"/>
      <c r="W60" s="116"/>
      <c r="X60" s="1062"/>
      <c r="Y60" s="1062"/>
      <c r="Z60" s="1062"/>
      <c r="AA60" s="1062"/>
      <c r="AB60" s="1062"/>
      <c r="AC60" s="1062"/>
      <c r="AD60" s="1062"/>
      <c r="AE60" s="1062"/>
      <c r="AF60" s="116"/>
      <c r="AG60" s="116"/>
      <c r="AH60" s="116"/>
      <c r="AI60" s="116"/>
    </row>
    <row r="61" spans="1:35">
      <c r="A61" s="1102"/>
      <c r="B61" s="1038">
        <v>41618</v>
      </c>
      <c r="C61" s="116">
        <v>2.77</v>
      </c>
      <c r="D61" s="116">
        <v>77.25</v>
      </c>
      <c r="E61" s="116"/>
      <c r="F61" s="116">
        <v>6.15</v>
      </c>
      <c r="G61" s="116"/>
      <c r="H61" s="116"/>
      <c r="I61" s="116"/>
      <c r="J61" s="116"/>
      <c r="K61" s="116"/>
      <c r="L61" s="1192">
        <v>2.4</v>
      </c>
      <c r="M61" s="1192">
        <v>66.55</v>
      </c>
      <c r="N61" s="1062"/>
      <c r="O61" s="1062"/>
      <c r="P61" s="1062"/>
      <c r="Q61" s="1062"/>
      <c r="R61" s="1062"/>
      <c r="S61" s="1062"/>
      <c r="T61" s="116">
        <v>27.051671732522799</v>
      </c>
      <c r="U61" s="116">
        <v>29.45889387144992</v>
      </c>
      <c r="V61" s="116">
        <v>36.459985783458883</v>
      </c>
      <c r="W61" s="116">
        <v>38.556742934204912</v>
      </c>
      <c r="X61" s="1192">
        <v>2.4900000000000002</v>
      </c>
      <c r="Y61" s="1192">
        <v>61.68</v>
      </c>
      <c r="Z61" s="1062"/>
      <c r="AA61" s="1062"/>
      <c r="AB61" s="1062"/>
      <c r="AC61" s="1062"/>
      <c r="AD61" s="1062"/>
      <c r="AE61" s="1062"/>
      <c r="AF61" s="116">
        <v>24.316109422492396</v>
      </c>
      <c r="AG61" s="116">
        <v>38.42379958246346</v>
      </c>
      <c r="AH61" s="116">
        <v>38.901335390546713</v>
      </c>
      <c r="AI61" s="116">
        <v>50.290298390743239</v>
      </c>
    </row>
    <row r="62" spans="1:35">
      <c r="A62" s="1102"/>
      <c r="B62" s="1038">
        <v>41619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062"/>
      <c r="M62" s="1062"/>
      <c r="N62" s="1062"/>
      <c r="O62" s="1062"/>
      <c r="P62" s="1062"/>
      <c r="Q62" s="1062"/>
      <c r="R62" s="1062"/>
      <c r="S62" s="1062"/>
      <c r="T62" s="116"/>
      <c r="U62" s="116"/>
      <c r="V62" s="116"/>
      <c r="W62" s="116"/>
      <c r="X62" s="1062"/>
      <c r="Y62" s="1062"/>
      <c r="Z62" s="1062"/>
      <c r="AA62" s="1062"/>
      <c r="AB62" s="1062"/>
      <c r="AC62" s="1062"/>
      <c r="AD62" s="1062"/>
      <c r="AE62" s="1062"/>
      <c r="AF62" s="116"/>
      <c r="AG62" s="116"/>
      <c r="AH62" s="116"/>
      <c r="AI62" s="116"/>
    </row>
    <row r="63" spans="1:35">
      <c r="A63" s="1102"/>
      <c r="B63" s="1038">
        <v>41620</v>
      </c>
      <c r="C63" s="116">
        <v>2.7</v>
      </c>
      <c r="D63" s="116">
        <v>78.400000000000006</v>
      </c>
      <c r="E63" s="116">
        <v>37400</v>
      </c>
      <c r="F63" s="116"/>
      <c r="G63" s="116"/>
      <c r="H63" s="116">
        <v>3459</v>
      </c>
      <c r="I63" s="116"/>
      <c r="J63" s="116"/>
      <c r="K63" s="116"/>
      <c r="L63" s="1062">
        <v>2.2999999999999998</v>
      </c>
      <c r="M63" s="1062">
        <v>67.8</v>
      </c>
      <c r="N63" s="1062">
        <v>23700</v>
      </c>
      <c r="O63" s="1062"/>
      <c r="P63" s="1062"/>
      <c r="Q63" s="1062"/>
      <c r="R63" s="1062"/>
      <c r="S63" s="1062"/>
      <c r="T63" s="116">
        <v>29.230769230769234</v>
      </c>
      <c r="U63" s="116">
        <v>29.049689440993788</v>
      </c>
      <c r="V63" s="116">
        <v>37.810692301710283</v>
      </c>
      <c r="W63" s="116">
        <v>37.651566271345345</v>
      </c>
      <c r="X63" s="1062">
        <v>2.2999999999999998</v>
      </c>
      <c r="Y63" s="1062">
        <v>64.5</v>
      </c>
      <c r="Z63" s="1062">
        <v>22400</v>
      </c>
      <c r="AA63" s="1062"/>
      <c r="AB63" s="1062">
        <v>2765</v>
      </c>
      <c r="AC63" s="1062"/>
      <c r="AD63" s="1062"/>
      <c r="AE63" s="1062"/>
      <c r="AF63" s="116">
        <v>29.230769230769234</v>
      </c>
      <c r="AG63" s="116">
        <v>35.645070422535198</v>
      </c>
      <c r="AH63" s="116">
        <v>40.837605508264183</v>
      </c>
      <c r="AI63" s="116">
        <v>46.19989945114343</v>
      </c>
    </row>
    <row r="64" spans="1:35">
      <c r="A64" s="1102"/>
      <c r="B64" s="1038">
        <v>41621</v>
      </c>
      <c r="C64" s="116"/>
      <c r="D64" s="116"/>
      <c r="E64" s="116"/>
      <c r="F64" s="116"/>
      <c r="G64" s="116"/>
      <c r="H64" s="116"/>
      <c r="I64" s="116"/>
      <c r="J64" s="116"/>
      <c r="K64" s="116"/>
      <c r="L64" s="1062"/>
      <c r="M64" s="1062"/>
      <c r="N64" s="1062"/>
      <c r="O64" s="1062"/>
      <c r="P64" s="1062"/>
      <c r="Q64" s="1062"/>
      <c r="R64" s="1062"/>
      <c r="S64" s="1062"/>
      <c r="T64" s="116"/>
      <c r="U64" s="116"/>
      <c r="V64" s="116"/>
      <c r="W64" s="116"/>
      <c r="X64" s="1062"/>
      <c r="Y64" s="1062"/>
      <c r="Z64" s="1062"/>
      <c r="AA64" s="1062"/>
      <c r="AB64" s="1062"/>
      <c r="AC64" s="1062"/>
      <c r="AD64" s="1062"/>
      <c r="AE64" s="1062"/>
      <c r="AF64" s="116"/>
      <c r="AG64" s="116"/>
      <c r="AH64" s="116"/>
      <c r="AI64" s="116"/>
    </row>
    <row r="65" spans="1:35">
      <c r="A65" s="1102"/>
      <c r="B65" s="1038">
        <v>41622</v>
      </c>
      <c r="C65" s="116"/>
      <c r="D65" s="116"/>
      <c r="E65" s="116"/>
      <c r="F65" s="116"/>
      <c r="G65" s="116"/>
      <c r="H65" s="116"/>
      <c r="I65" s="116"/>
      <c r="J65" s="116"/>
      <c r="K65" s="116"/>
      <c r="L65" s="1062"/>
      <c r="M65" s="1062"/>
      <c r="N65" s="1062"/>
      <c r="O65" s="1062"/>
      <c r="P65" s="1062"/>
      <c r="Q65" s="1062"/>
      <c r="R65" s="1062"/>
      <c r="S65" s="1062"/>
      <c r="T65" s="116"/>
      <c r="U65" s="116"/>
      <c r="V65" s="116"/>
      <c r="W65" s="116"/>
      <c r="X65" s="1062"/>
      <c r="Y65" s="1062"/>
      <c r="Z65" s="1062"/>
      <c r="AA65" s="1062"/>
      <c r="AB65" s="1062"/>
      <c r="AC65" s="1062"/>
      <c r="AD65" s="1062"/>
      <c r="AE65" s="1062"/>
      <c r="AF65" s="116"/>
      <c r="AG65" s="116"/>
      <c r="AH65" s="116"/>
      <c r="AI65" s="116"/>
    </row>
    <row r="66" spans="1:35">
      <c r="A66" s="1102"/>
      <c r="B66" s="1038">
        <v>41623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062"/>
      <c r="M66" s="1062"/>
      <c r="N66" s="1062"/>
      <c r="O66" s="1062"/>
      <c r="P66" s="1062"/>
      <c r="Q66" s="1062"/>
      <c r="R66" s="1062"/>
      <c r="S66" s="1062"/>
      <c r="T66" s="116"/>
      <c r="U66" s="116"/>
      <c r="V66" s="116"/>
      <c r="W66" s="116"/>
      <c r="X66" s="1062"/>
      <c r="Y66" s="1062"/>
      <c r="Z66" s="1062"/>
      <c r="AA66" s="1062"/>
      <c r="AB66" s="1062"/>
      <c r="AC66" s="1062"/>
      <c r="AD66" s="1062"/>
      <c r="AE66" s="1062"/>
      <c r="AF66" s="116"/>
      <c r="AG66" s="116"/>
      <c r="AH66" s="116"/>
      <c r="AI66" s="116"/>
    </row>
    <row r="67" spans="1:35">
      <c r="A67" s="1102"/>
      <c r="B67" s="1038">
        <v>41624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062"/>
      <c r="M67" s="1062"/>
      <c r="N67" s="1062"/>
      <c r="O67" s="1062"/>
      <c r="P67" s="1062"/>
      <c r="Q67" s="1062"/>
      <c r="R67" s="1062"/>
      <c r="S67" s="1062"/>
      <c r="T67" s="116"/>
      <c r="U67" s="116"/>
      <c r="V67" s="116"/>
      <c r="W67" s="116"/>
      <c r="X67" s="1062"/>
      <c r="Y67" s="1062"/>
      <c r="Z67" s="1062"/>
      <c r="AA67" s="1062"/>
      <c r="AB67" s="1062"/>
      <c r="AC67" s="1062"/>
      <c r="AD67" s="1062"/>
      <c r="AE67" s="1062"/>
      <c r="AF67" s="116"/>
      <c r="AG67" s="116"/>
      <c r="AH67" s="116"/>
      <c r="AI67" s="116"/>
    </row>
    <row r="68" spans="1:35">
      <c r="A68" s="1102"/>
      <c r="B68" s="1038">
        <v>41625</v>
      </c>
      <c r="C68" s="116">
        <v>2.4900000000000002</v>
      </c>
      <c r="D68" s="116">
        <v>77.400000000000006</v>
      </c>
      <c r="E68" s="116"/>
      <c r="F68" s="116"/>
      <c r="G68" s="116"/>
      <c r="H68" s="116"/>
      <c r="I68" s="116"/>
      <c r="J68" s="116"/>
      <c r="K68" s="116"/>
      <c r="L68" s="1192">
        <v>2.16</v>
      </c>
      <c r="M68" s="1192">
        <v>66.16</v>
      </c>
      <c r="N68" s="1062"/>
      <c r="O68" s="1062"/>
      <c r="P68" s="1062"/>
      <c r="Q68" s="1062"/>
      <c r="R68" s="1062"/>
      <c r="S68" s="1062"/>
      <c r="T68" s="116">
        <v>32.521087160262404</v>
      </c>
      <c r="U68" s="116">
        <v>32.712765957446791</v>
      </c>
      <c r="V68" s="116">
        <v>42.193385038494888</v>
      </c>
      <c r="W68" s="116">
        <v>42.357588964711624</v>
      </c>
      <c r="X68" s="1192">
        <v>2.1800000000000002</v>
      </c>
      <c r="Y68" s="1192">
        <v>64.94</v>
      </c>
      <c r="Z68" s="1062"/>
      <c r="AA68" s="1062"/>
      <c r="AB68" s="1062"/>
      <c r="AC68" s="1062"/>
      <c r="AD68" s="1062"/>
      <c r="AE68" s="1062"/>
      <c r="AF68" s="116">
        <v>31.896282411746316</v>
      </c>
      <c r="AG68" s="116">
        <v>35.054192812321702</v>
      </c>
      <c r="AH68" s="116">
        <v>42.733970993380879</v>
      </c>
      <c r="AI68" s="116">
        <v>45.389347160846455</v>
      </c>
    </row>
    <row r="69" spans="1:35">
      <c r="A69" s="1102"/>
      <c r="B69" s="1038">
        <v>41626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058"/>
      <c r="M69" s="1058"/>
      <c r="N69" s="1058"/>
      <c r="O69" s="1058"/>
      <c r="P69" s="1058"/>
      <c r="Q69" s="1058"/>
      <c r="R69" s="1058"/>
      <c r="S69" s="1058"/>
      <c r="T69" s="116"/>
      <c r="U69" s="116"/>
      <c r="V69" s="116"/>
      <c r="W69" s="116"/>
      <c r="X69" s="1058"/>
      <c r="Y69" s="1058"/>
      <c r="Z69" s="1058"/>
      <c r="AA69" s="1058"/>
      <c r="AB69" s="1058"/>
      <c r="AC69" s="1058"/>
      <c r="AD69" s="1058"/>
      <c r="AE69" s="1058"/>
      <c r="AF69" s="116"/>
      <c r="AG69" s="116"/>
      <c r="AH69" s="116"/>
      <c r="AI69" s="116"/>
    </row>
    <row r="70" spans="1:35">
      <c r="A70" s="1102"/>
      <c r="B70" s="1038">
        <v>41627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058"/>
      <c r="M70" s="1058"/>
      <c r="N70" s="1058"/>
      <c r="O70" s="1058"/>
      <c r="P70" s="1058"/>
      <c r="Q70" s="1058"/>
      <c r="R70" s="1058"/>
      <c r="S70" s="1058"/>
      <c r="T70" s="116"/>
      <c r="U70" s="116"/>
      <c r="V70" s="116"/>
      <c r="W70" s="116"/>
      <c r="X70" s="1058"/>
      <c r="Y70" s="1058"/>
      <c r="Z70" s="1058"/>
      <c r="AA70" s="1058"/>
      <c r="AB70" s="1058"/>
      <c r="AC70" s="1058"/>
      <c r="AD70" s="1058"/>
      <c r="AE70" s="1058"/>
      <c r="AF70" s="116"/>
      <c r="AG70" s="116"/>
      <c r="AH70" s="116"/>
      <c r="AI70" s="116"/>
    </row>
    <row r="71" spans="1:35">
      <c r="A71" s="1102"/>
      <c r="B71" s="1038">
        <v>41628</v>
      </c>
      <c r="C71" s="116"/>
      <c r="D71" s="116"/>
      <c r="E71" s="116"/>
      <c r="F71" s="116"/>
      <c r="G71" s="116"/>
      <c r="H71" s="116"/>
      <c r="I71" s="116"/>
      <c r="J71" s="116"/>
      <c r="K71" s="116"/>
      <c r="L71" s="1058"/>
      <c r="M71" s="1058"/>
      <c r="N71" s="1058"/>
      <c r="O71" s="1058"/>
      <c r="P71" s="1058"/>
      <c r="Q71" s="1058"/>
      <c r="R71" s="1058"/>
      <c r="S71" s="1058"/>
      <c r="T71" s="116"/>
      <c r="U71" s="116"/>
      <c r="V71" s="116"/>
      <c r="W71" s="116"/>
      <c r="X71" s="1058"/>
      <c r="Y71" s="1058"/>
      <c r="Z71" s="1058"/>
      <c r="AA71" s="1058"/>
      <c r="AB71" s="1058"/>
      <c r="AC71" s="1058"/>
      <c r="AD71" s="1058"/>
      <c r="AE71" s="1058"/>
      <c r="AF71" s="116"/>
      <c r="AG71" s="116"/>
      <c r="AH71" s="116"/>
      <c r="AI71" s="116"/>
    </row>
    <row r="72" spans="1:35">
      <c r="A72" s="1102"/>
      <c r="B72" s="1038">
        <v>41629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058"/>
      <c r="M72" s="1058"/>
      <c r="N72" s="1058"/>
      <c r="O72" s="1058"/>
      <c r="P72" s="1058"/>
      <c r="Q72" s="1058"/>
      <c r="R72" s="1058"/>
      <c r="S72" s="1058"/>
      <c r="T72" s="116"/>
      <c r="U72" s="116"/>
      <c r="V72" s="116"/>
      <c r="W72" s="116"/>
      <c r="X72" s="1058"/>
      <c r="Y72" s="1058"/>
      <c r="Z72" s="1058"/>
      <c r="AA72" s="1058"/>
      <c r="AB72" s="1058"/>
      <c r="AC72" s="1058"/>
      <c r="AD72" s="1058"/>
      <c r="AE72" s="1058"/>
      <c r="AF72" s="116"/>
      <c r="AG72" s="116"/>
      <c r="AH72" s="116"/>
      <c r="AI72" s="116"/>
    </row>
    <row r="73" spans="1:35">
      <c r="A73" s="1102"/>
      <c r="B73" s="1038">
        <v>41630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058"/>
      <c r="M73" s="1058"/>
      <c r="N73" s="1058"/>
      <c r="O73" s="1058"/>
      <c r="P73" s="1058"/>
      <c r="Q73" s="1058"/>
      <c r="R73" s="1058"/>
      <c r="S73" s="1058"/>
      <c r="T73" s="116"/>
      <c r="U73" s="116"/>
      <c r="V73" s="116"/>
      <c r="W73" s="116"/>
      <c r="X73" s="1058"/>
      <c r="Y73" s="1058"/>
      <c r="Z73" s="1058"/>
      <c r="AA73" s="1058"/>
      <c r="AB73" s="1058"/>
      <c r="AC73" s="1058"/>
      <c r="AD73" s="1058"/>
      <c r="AE73" s="1058"/>
      <c r="AF73" s="116"/>
      <c r="AG73" s="116"/>
      <c r="AH73" s="116"/>
      <c r="AI73" s="116"/>
    </row>
    <row r="74" spans="1:35">
      <c r="A74" s="1102"/>
      <c r="B74" s="1038">
        <v>41631</v>
      </c>
      <c r="C74" s="116"/>
      <c r="D74" s="116"/>
      <c r="E74" s="116"/>
      <c r="F74" s="116"/>
      <c r="G74" s="116"/>
      <c r="H74" s="116"/>
      <c r="I74" s="116"/>
      <c r="J74" s="116"/>
      <c r="K74" s="116"/>
      <c r="L74" s="1058"/>
      <c r="M74" s="1058"/>
      <c r="N74" s="1058"/>
      <c r="O74" s="1058"/>
      <c r="P74" s="1058"/>
      <c r="Q74" s="1058"/>
      <c r="R74" s="1058"/>
      <c r="S74" s="1058"/>
      <c r="T74" s="116"/>
      <c r="U74" s="116"/>
      <c r="V74" s="116"/>
      <c r="W74" s="116"/>
      <c r="X74" s="1058"/>
      <c r="Y74" s="1058"/>
      <c r="Z74" s="1058"/>
      <c r="AA74" s="1058"/>
      <c r="AB74" s="1058"/>
      <c r="AC74" s="1058"/>
      <c r="AD74" s="1058"/>
      <c r="AE74" s="1058"/>
      <c r="AF74" s="116"/>
      <c r="AG74" s="116"/>
      <c r="AH74" s="116"/>
      <c r="AI74" s="116"/>
    </row>
    <row r="75" spans="1:35">
      <c r="A75" s="1102"/>
      <c r="B75" s="1038">
        <v>41632</v>
      </c>
      <c r="C75" s="116"/>
      <c r="D75" s="116"/>
      <c r="E75" s="116"/>
      <c r="F75" s="116"/>
      <c r="G75" s="116"/>
      <c r="H75" s="116"/>
      <c r="I75" s="116"/>
      <c r="J75" s="116"/>
      <c r="K75" s="116"/>
      <c r="L75" s="1058"/>
      <c r="M75" s="1058"/>
      <c r="N75" s="1058"/>
      <c r="O75" s="1058"/>
      <c r="P75" s="1058"/>
      <c r="Q75" s="1058"/>
      <c r="R75" s="1058"/>
      <c r="S75" s="1058"/>
      <c r="T75" s="116"/>
      <c r="U75" s="116"/>
      <c r="V75" s="116"/>
      <c r="W75" s="116"/>
      <c r="X75" s="1058"/>
      <c r="Y75" s="1058"/>
      <c r="Z75" s="1058"/>
      <c r="AA75" s="1058"/>
      <c r="AB75" s="1058"/>
      <c r="AC75" s="1058"/>
      <c r="AD75" s="1058"/>
      <c r="AE75" s="1058"/>
      <c r="AF75" s="116"/>
      <c r="AG75" s="116"/>
      <c r="AH75" s="116"/>
      <c r="AI75" s="116"/>
    </row>
    <row r="76" spans="1:35">
      <c r="A76" s="1102"/>
      <c r="B76" s="1038">
        <v>41633</v>
      </c>
      <c r="C76" s="116"/>
      <c r="D76" s="116"/>
      <c r="E76" s="116"/>
      <c r="F76" s="116"/>
      <c r="G76" s="116"/>
      <c r="H76" s="116"/>
      <c r="I76" s="116"/>
      <c r="J76" s="116"/>
      <c r="K76" s="116"/>
      <c r="L76" s="1058"/>
      <c r="M76" s="1058"/>
      <c r="N76" s="1058"/>
      <c r="O76" s="1058"/>
      <c r="P76" s="1058"/>
      <c r="Q76" s="1058"/>
      <c r="R76" s="1058"/>
      <c r="S76" s="1058"/>
      <c r="T76" s="116"/>
      <c r="U76" s="116"/>
      <c r="V76" s="116"/>
      <c r="W76" s="116"/>
      <c r="X76" s="1058"/>
      <c r="Y76" s="1058"/>
      <c r="Z76" s="1058"/>
      <c r="AA76" s="1058"/>
      <c r="AB76" s="1058"/>
      <c r="AC76" s="1058"/>
      <c r="AD76" s="1058"/>
      <c r="AE76" s="1058"/>
      <c r="AF76" s="116"/>
      <c r="AG76" s="116"/>
      <c r="AH76" s="116"/>
      <c r="AI76" s="116"/>
    </row>
    <row r="77" spans="1:35">
      <c r="A77" s="1102"/>
      <c r="B77" s="1038">
        <v>41634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058"/>
      <c r="M77" s="1058"/>
      <c r="N77" s="1058"/>
      <c r="O77" s="1058"/>
      <c r="P77" s="1058"/>
      <c r="Q77" s="1058"/>
      <c r="R77" s="1058"/>
      <c r="S77" s="1058"/>
      <c r="T77" s="116"/>
      <c r="U77" s="116"/>
      <c r="V77" s="116"/>
      <c r="W77" s="116"/>
      <c r="X77" s="1058"/>
      <c r="Y77" s="1058"/>
      <c r="Z77" s="1058"/>
      <c r="AA77" s="1058"/>
      <c r="AB77" s="1058"/>
      <c r="AC77" s="1058"/>
      <c r="AD77" s="1058"/>
      <c r="AE77" s="1058"/>
      <c r="AF77" s="116"/>
      <c r="AG77" s="116"/>
      <c r="AH77" s="116"/>
      <c r="AI77" s="116"/>
    </row>
    <row r="78" spans="1:35">
      <c r="A78" s="1102"/>
      <c r="B78" s="1038">
        <v>41635</v>
      </c>
      <c r="C78" s="116"/>
      <c r="D78" s="116"/>
      <c r="E78" s="116"/>
      <c r="F78" s="116"/>
      <c r="G78" s="116"/>
      <c r="H78" s="116"/>
      <c r="I78" s="116"/>
      <c r="J78" s="116"/>
      <c r="K78" s="116"/>
      <c r="L78" s="1058"/>
      <c r="M78" s="1058"/>
      <c r="N78" s="1058"/>
      <c r="O78" s="1058"/>
      <c r="P78" s="1058"/>
      <c r="Q78" s="1058"/>
      <c r="R78" s="1058"/>
      <c r="S78" s="1058"/>
      <c r="T78" s="116"/>
      <c r="U78" s="116"/>
      <c r="V78" s="116"/>
      <c r="W78" s="116"/>
      <c r="X78" s="1058"/>
      <c r="Y78" s="1058"/>
      <c r="Z78" s="1058"/>
      <c r="AA78" s="1058"/>
      <c r="AB78" s="1058"/>
      <c r="AC78" s="1058"/>
      <c r="AD78" s="1058"/>
      <c r="AE78" s="1058"/>
      <c r="AF78" s="116"/>
      <c r="AG78" s="116"/>
      <c r="AH78" s="116"/>
      <c r="AI78" s="116"/>
    </row>
    <row r="79" spans="1:35">
      <c r="A79" s="1102"/>
      <c r="B79" s="1038">
        <v>41636</v>
      </c>
      <c r="C79" s="116"/>
      <c r="D79" s="116"/>
      <c r="E79" s="116"/>
      <c r="F79" s="116"/>
      <c r="G79" s="116"/>
      <c r="H79" s="116"/>
      <c r="I79" s="116"/>
      <c r="J79" s="116"/>
      <c r="K79" s="116"/>
      <c r="L79" s="1058"/>
      <c r="M79" s="1058"/>
      <c r="N79" s="1058"/>
      <c r="O79" s="1058"/>
      <c r="P79" s="1058"/>
      <c r="Q79" s="1058"/>
      <c r="R79" s="1058"/>
      <c r="S79" s="1058"/>
      <c r="T79" s="116"/>
      <c r="U79" s="116"/>
      <c r="V79" s="116"/>
      <c r="W79" s="116"/>
      <c r="X79" s="1058"/>
      <c r="Y79" s="1058"/>
      <c r="Z79" s="1058"/>
      <c r="AA79" s="1058"/>
      <c r="AB79" s="1058"/>
      <c r="AC79" s="1058"/>
      <c r="AD79" s="1058"/>
      <c r="AE79" s="1058"/>
      <c r="AF79" s="116"/>
      <c r="AG79" s="116"/>
      <c r="AH79" s="116"/>
      <c r="AI79" s="116"/>
    </row>
    <row r="80" spans="1:35">
      <c r="A80" s="1102"/>
      <c r="B80" s="1038">
        <v>41637</v>
      </c>
      <c r="C80" s="116"/>
      <c r="D80" s="116"/>
      <c r="E80" s="116"/>
      <c r="F80" s="116"/>
      <c r="G80" s="116"/>
      <c r="H80" s="116"/>
      <c r="I80" s="116"/>
      <c r="J80" s="116"/>
      <c r="K80" s="116"/>
      <c r="L80" s="1058"/>
      <c r="M80" s="1058"/>
      <c r="N80" s="1058"/>
      <c r="O80" s="1058"/>
      <c r="P80" s="1058"/>
      <c r="Q80" s="1058"/>
      <c r="R80" s="1058"/>
      <c r="S80" s="1058"/>
      <c r="T80" s="116"/>
      <c r="U80" s="116"/>
      <c r="V80" s="116"/>
      <c r="W80" s="116"/>
      <c r="X80" s="1058"/>
      <c r="Y80" s="1058"/>
      <c r="Z80" s="1058"/>
      <c r="AA80" s="1058"/>
      <c r="AB80" s="1058"/>
      <c r="AC80" s="1058"/>
      <c r="AD80" s="1058"/>
      <c r="AE80" s="1058"/>
      <c r="AF80" s="116"/>
      <c r="AG80" s="116"/>
      <c r="AH80" s="116"/>
      <c r="AI80" s="116"/>
    </row>
    <row r="81" spans="1:35">
      <c r="A81" s="1102"/>
      <c r="B81" s="1038">
        <v>41638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058"/>
      <c r="M81" s="1058"/>
      <c r="N81" s="1058"/>
      <c r="O81" s="1058"/>
      <c r="P81" s="1058"/>
      <c r="Q81" s="1058"/>
      <c r="R81" s="1058"/>
      <c r="S81" s="1058"/>
      <c r="T81" s="116"/>
      <c r="U81" s="116"/>
      <c r="V81" s="116"/>
      <c r="W81" s="116"/>
      <c r="X81" s="1058"/>
      <c r="Y81" s="1058"/>
      <c r="Z81" s="1058"/>
      <c r="AA81" s="1058"/>
      <c r="AB81" s="1058"/>
      <c r="AC81" s="1058"/>
      <c r="AD81" s="1058"/>
      <c r="AE81" s="1058"/>
      <c r="AF81" s="116"/>
      <c r="AG81" s="116"/>
      <c r="AH81" s="116"/>
      <c r="AI81" s="116"/>
    </row>
    <row r="82" spans="1:35">
      <c r="A82" s="1102"/>
      <c r="B82" s="1038">
        <v>41639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058"/>
      <c r="M82" s="1058"/>
      <c r="N82" s="1058"/>
      <c r="O82" s="1058"/>
      <c r="P82" s="1058"/>
      <c r="Q82" s="1058"/>
      <c r="R82" s="1058"/>
      <c r="S82" s="1058"/>
      <c r="T82" s="116"/>
      <c r="U82" s="116"/>
      <c r="V82" s="116"/>
      <c r="W82" s="116"/>
      <c r="X82" s="1058"/>
      <c r="Y82" s="1058"/>
      <c r="Z82" s="1058"/>
      <c r="AA82" s="1058"/>
      <c r="AB82" s="1058"/>
      <c r="AC82" s="1058"/>
      <c r="AD82" s="1058"/>
      <c r="AE82" s="1058"/>
      <c r="AF82" s="116"/>
      <c r="AG82" s="116"/>
      <c r="AH82" s="116"/>
      <c r="AI82" s="116"/>
    </row>
    <row r="83" spans="1:35">
      <c r="A83" s="1102"/>
      <c r="B83" s="1038">
        <v>41640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058"/>
      <c r="M83" s="1058"/>
      <c r="N83" s="1058"/>
      <c r="O83" s="1058"/>
      <c r="P83" s="1058"/>
      <c r="Q83" s="1058"/>
      <c r="R83" s="1058"/>
      <c r="S83" s="1058"/>
      <c r="T83" s="116"/>
      <c r="U83" s="116"/>
      <c r="V83" s="116"/>
      <c r="W83" s="116"/>
      <c r="X83" s="1058"/>
      <c r="Y83" s="1058"/>
      <c r="Z83" s="1058"/>
      <c r="AA83" s="1058"/>
      <c r="AB83" s="1058"/>
      <c r="AC83" s="1058"/>
      <c r="AD83" s="1058"/>
      <c r="AE83" s="1058"/>
      <c r="AF83" s="116"/>
      <c r="AG83" s="116"/>
      <c r="AH83" s="116"/>
      <c r="AI83" s="116"/>
    </row>
    <row r="84" spans="1:35">
      <c r="A84" s="1102"/>
      <c r="B84" s="1038">
        <v>41641</v>
      </c>
      <c r="C84" s="116">
        <v>2.57</v>
      </c>
      <c r="D84" s="116">
        <v>77.31</v>
      </c>
      <c r="E84" s="116"/>
      <c r="F84" s="116">
        <v>5.95</v>
      </c>
      <c r="G84" s="116"/>
      <c r="H84" s="116"/>
      <c r="I84" s="116"/>
      <c r="J84" s="116"/>
      <c r="K84" s="116"/>
      <c r="L84" s="1191">
        <v>2</v>
      </c>
      <c r="M84" s="1191">
        <v>66.819999999999993</v>
      </c>
      <c r="N84" s="1058"/>
      <c r="O84" s="1058"/>
      <c r="P84" s="1058"/>
      <c r="Q84" s="1058"/>
      <c r="R84" s="1058"/>
      <c r="S84" s="1058"/>
      <c r="T84" s="116">
        <v>35.233160621761662</v>
      </c>
      <c r="U84" s="116">
        <v>31.588306208559391</v>
      </c>
      <c r="V84" s="116">
        <v>44.014693118408744</v>
      </c>
      <c r="W84" s="116">
        <v>40.864033076621766</v>
      </c>
      <c r="X84" s="1191">
        <v>2.16</v>
      </c>
      <c r="Y84" s="1191">
        <v>66.92</v>
      </c>
      <c r="Z84" s="1058"/>
      <c r="AA84" s="1058"/>
      <c r="AB84" s="1058"/>
      <c r="AC84" s="1058"/>
      <c r="AD84" s="1058"/>
      <c r="AE84" s="1058"/>
      <c r="AF84" s="116">
        <v>30.051813471502587</v>
      </c>
      <c r="AG84" s="116">
        <v>31.381499395405076</v>
      </c>
      <c r="AH84" s="116">
        <v>39.445380493304782</v>
      </c>
      <c r="AI84" s="116">
        <v>40.596498616324602</v>
      </c>
    </row>
    <row r="85" spans="1:35">
      <c r="A85" s="1102"/>
      <c r="B85" s="1038">
        <v>41642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058"/>
      <c r="M85" s="1058"/>
      <c r="N85" s="1058"/>
      <c r="O85" s="1058"/>
      <c r="P85" s="1058"/>
      <c r="Q85" s="1058"/>
      <c r="R85" s="1058"/>
      <c r="S85" s="1058"/>
      <c r="T85" s="116"/>
      <c r="U85" s="116"/>
      <c r="V85" s="116"/>
      <c r="W85" s="116"/>
      <c r="X85" s="1058"/>
      <c r="Y85" s="1058"/>
      <c r="Z85" s="1058"/>
      <c r="AA85" s="1058"/>
      <c r="AB85" s="1058"/>
      <c r="AC85" s="1058"/>
      <c r="AD85" s="1058"/>
      <c r="AE85" s="1058"/>
      <c r="AF85" s="116"/>
      <c r="AG85" s="116"/>
      <c r="AH85" s="116"/>
      <c r="AI85" s="116"/>
    </row>
    <row r="86" spans="1:35">
      <c r="A86" s="1102"/>
      <c r="B86" s="1038">
        <v>41643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058"/>
      <c r="M86" s="1058"/>
      <c r="N86" s="1058"/>
      <c r="O86" s="1058"/>
      <c r="P86" s="1058"/>
      <c r="Q86" s="1058"/>
      <c r="R86" s="1058"/>
      <c r="S86" s="1058"/>
      <c r="T86" s="116"/>
      <c r="U86" s="116"/>
      <c r="V86" s="116"/>
      <c r="W86" s="116"/>
      <c r="X86" s="1058"/>
      <c r="Y86" s="1058"/>
      <c r="Z86" s="1058"/>
      <c r="AA86" s="1058"/>
      <c r="AB86" s="1058"/>
      <c r="AC86" s="1058"/>
      <c r="AD86" s="1058"/>
      <c r="AE86" s="1058"/>
      <c r="AF86" s="116"/>
      <c r="AG86" s="116"/>
      <c r="AH86" s="116"/>
      <c r="AI86" s="116"/>
    </row>
    <row r="87" spans="1:35">
      <c r="A87" s="1102"/>
      <c r="B87" s="1038">
        <v>41644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058"/>
      <c r="M87" s="1058"/>
      <c r="N87" s="1058"/>
      <c r="O87" s="1058"/>
      <c r="P87" s="1058"/>
      <c r="Q87" s="1058"/>
      <c r="R87" s="1058"/>
      <c r="S87" s="1058"/>
      <c r="T87" s="116"/>
      <c r="U87" s="116"/>
      <c r="V87" s="116"/>
      <c r="W87" s="116"/>
      <c r="X87" s="1058"/>
      <c r="Y87" s="1058"/>
      <c r="Z87" s="1058"/>
      <c r="AA87" s="1058"/>
      <c r="AB87" s="1058"/>
      <c r="AC87" s="1058"/>
      <c r="AD87" s="1058"/>
      <c r="AE87" s="1058"/>
      <c r="AF87" s="116"/>
      <c r="AG87" s="116"/>
      <c r="AH87" s="116"/>
      <c r="AI87" s="116"/>
    </row>
    <row r="88" spans="1:35">
      <c r="A88" s="1102"/>
      <c r="B88" s="1038">
        <v>41645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058"/>
      <c r="M88" s="1058"/>
      <c r="N88" s="1058"/>
      <c r="O88" s="1058"/>
      <c r="P88" s="1058"/>
      <c r="Q88" s="1058"/>
      <c r="R88" s="1058"/>
      <c r="S88" s="1058"/>
      <c r="T88" s="116"/>
      <c r="U88" s="116"/>
      <c r="V88" s="116"/>
      <c r="W88" s="116"/>
      <c r="X88" s="1058"/>
      <c r="Y88" s="1058"/>
      <c r="Z88" s="1058"/>
      <c r="AA88" s="1058"/>
      <c r="AB88" s="1058"/>
      <c r="AC88" s="1058"/>
      <c r="AD88" s="1058"/>
      <c r="AE88" s="1058"/>
      <c r="AF88" s="116"/>
      <c r="AG88" s="116"/>
      <c r="AH88" s="116"/>
      <c r="AI88" s="116"/>
    </row>
    <row r="89" spans="1:35">
      <c r="A89" s="1102"/>
      <c r="B89" s="1038">
        <v>41646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058"/>
      <c r="M89" s="1058"/>
      <c r="N89" s="1058"/>
      <c r="O89" s="1058"/>
      <c r="P89" s="1058"/>
      <c r="Q89" s="1058"/>
      <c r="R89" s="1058"/>
      <c r="S89" s="1058"/>
      <c r="T89" s="116"/>
      <c r="U89" s="116"/>
      <c r="V89" s="116"/>
      <c r="W89" s="116"/>
      <c r="X89" s="1058"/>
      <c r="Y89" s="1058"/>
      <c r="Z89" s="1058"/>
      <c r="AA89" s="1058"/>
      <c r="AB89" s="1058"/>
      <c r="AC89" s="1058"/>
      <c r="AD89" s="1058"/>
      <c r="AE89" s="1058"/>
      <c r="AF89" s="116"/>
      <c r="AG89" s="116"/>
      <c r="AH89" s="116"/>
      <c r="AI89" s="116"/>
    </row>
    <row r="90" spans="1:35">
      <c r="A90" s="1102"/>
      <c r="B90" s="1038">
        <v>41647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058"/>
      <c r="M90" s="1058"/>
      <c r="N90" s="1058"/>
      <c r="O90" s="1058"/>
      <c r="P90" s="1058"/>
      <c r="Q90" s="1058"/>
      <c r="R90" s="1058"/>
      <c r="S90" s="1058"/>
      <c r="T90" s="116"/>
      <c r="U90" s="116"/>
      <c r="V90" s="116"/>
      <c r="W90" s="116"/>
      <c r="X90" s="1058"/>
      <c r="Y90" s="1058"/>
      <c r="Z90" s="1058"/>
      <c r="AA90" s="1058"/>
      <c r="AB90" s="1058"/>
      <c r="AC90" s="1058"/>
      <c r="AD90" s="1058"/>
      <c r="AE90" s="1058"/>
      <c r="AF90" s="116"/>
      <c r="AG90" s="116"/>
      <c r="AH90" s="116"/>
      <c r="AI90" s="116"/>
    </row>
    <row r="91" spans="1:35">
      <c r="A91" s="1102"/>
      <c r="B91" s="1038">
        <v>41648</v>
      </c>
      <c r="C91" s="116">
        <v>1.6</v>
      </c>
      <c r="D91" s="116">
        <v>79.900000000000006</v>
      </c>
      <c r="E91" s="116">
        <v>24500</v>
      </c>
      <c r="F91" s="116"/>
      <c r="G91" s="116">
        <v>31.7</v>
      </c>
      <c r="H91" s="116">
        <v>3025</v>
      </c>
      <c r="I91" s="116">
        <v>1633</v>
      </c>
      <c r="J91" s="116">
        <v>18</v>
      </c>
      <c r="K91" s="116">
        <v>177</v>
      </c>
      <c r="L91" s="1058">
        <v>1.7</v>
      </c>
      <c r="M91" s="1058">
        <v>65.8</v>
      </c>
      <c r="N91" s="1058">
        <v>18000</v>
      </c>
      <c r="O91" s="1058">
        <v>31.4</v>
      </c>
      <c r="P91" s="1058">
        <v>1058</v>
      </c>
      <c r="Q91" s="1058">
        <v>293</v>
      </c>
      <c r="R91" s="1058">
        <v>54</v>
      </c>
      <c r="S91" s="1058">
        <v>175</v>
      </c>
      <c r="T91" s="116">
        <v>41.9002050580998</v>
      </c>
      <c r="U91" s="116">
        <v>34.394736842105232</v>
      </c>
      <c r="V91" s="116">
        <v>50.711466715095689</v>
      </c>
      <c r="W91" s="116">
        <v>44.344258012332219</v>
      </c>
      <c r="X91" s="1058">
        <v>1.7</v>
      </c>
      <c r="Y91" s="1058">
        <v>66</v>
      </c>
      <c r="Z91" s="1058">
        <v>15700</v>
      </c>
      <c r="AA91" s="1058">
        <v>32.799999999999997</v>
      </c>
      <c r="AB91" s="1058">
        <v>2067</v>
      </c>
      <c r="AC91" s="1058">
        <v>434</v>
      </c>
      <c r="AD91" s="1058">
        <v>66</v>
      </c>
      <c r="AE91" s="1058">
        <v>137</v>
      </c>
      <c r="AF91" s="116">
        <v>41.9002050580998</v>
      </c>
      <c r="AG91" s="116">
        <v>34.008823529411728</v>
      </c>
      <c r="AH91" s="116">
        <v>50.561653544016934</v>
      </c>
      <c r="AI91" s="116">
        <v>43.846709809331422</v>
      </c>
    </row>
    <row r="92" spans="1:35">
      <c r="A92" s="1102"/>
      <c r="B92" s="1038">
        <v>41649</v>
      </c>
      <c r="C92" s="116">
        <v>2.1800000000000002</v>
      </c>
      <c r="D92" s="116">
        <v>82.35</v>
      </c>
      <c r="E92" s="116"/>
      <c r="F92" s="116"/>
      <c r="G92" s="116"/>
      <c r="H92" s="116"/>
      <c r="I92" s="116"/>
      <c r="J92" s="116"/>
      <c r="K92" s="116"/>
      <c r="L92" s="1191">
        <v>1.56</v>
      </c>
      <c r="M92" s="1191">
        <v>62.63</v>
      </c>
      <c r="N92" s="1058"/>
      <c r="O92" s="1058"/>
      <c r="P92" s="1058"/>
      <c r="Q92" s="1058"/>
      <c r="R92" s="1058"/>
      <c r="S92" s="1058"/>
      <c r="T92" s="116">
        <v>44.759206798866849</v>
      </c>
      <c r="U92" s="116">
        <v>41.578806529301545</v>
      </c>
      <c r="V92" s="116">
        <v>55.739805570220938</v>
      </c>
      <c r="W92" s="116">
        <v>53.191595703230938</v>
      </c>
      <c r="X92" s="1191">
        <v>1.54</v>
      </c>
      <c r="Y92" s="1191">
        <v>61.21</v>
      </c>
      <c r="Z92" s="1058"/>
      <c r="AA92" s="1058"/>
      <c r="AB92" s="1058"/>
      <c r="AC92" s="1058"/>
      <c r="AD92" s="1058"/>
      <c r="AE92" s="1058"/>
      <c r="AF92" s="116">
        <v>45.467422096317271</v>
      </c>
      <c r="AG92" s="116">
        <v>43.717452951791678</v>
      </c>
      <c r="AH92" s="116">
        <v>57.297882848679514</v>
      </c>
      <c r="AI92" s="116">
        <v>55.92755725078252</v>
      </c>
    </row>
    <row r="93" spans="1:35">
      <c r="A93" s="1102"/>
      <c r="B93" s="1038">
        <v>41650</v>
      </c>
      <c r="C93" s="116"/>
      <c r="D93" s="116"/>
      <c r="E93" s="116"/>
      <c r="F93" s="116"/>
      <c r="G93" s="116"/>
      <c r="H93" s="116"/>
      <c r="I93" s="116"/>
      <c r="J93" s="116"/>
      <c r="K93" s="116"/>
      <c r="L93" s="1058"/>
      <c r="M93" s="1058"/>
      <c r="N93" s="1058"/>
      <c r="O93" s="1058"/>
      <c r="P93" s="1058"/>
      <c r="Q93" s="1058"/>
      <c r="R93" s="1058"/>
      <c r="S93" s="1058"/>
      <c r="T93" s="116"/>
      <c r="U93" s="116"/>
      <c r="V93" s="116"/>
      <c r="W93" s="116"/>
      <c r="X93" s="1191"/>
      <c r="Y93" s="1191"/>
      <c r="Z93" s="1058"/>
      <c r="AA93" s="1058"/>
      <c r="AB93" s="1058"/>
      <c r="AC93" s="1058"/>
      <c r="AD93" s="1058"/>
      <c r="AE93" s="1058"/>
      <c r="AF93" s="116"/>
      <c r="AG93" s="116"/>
      <c r="AH93" s="116"/>
      <c r="AI93" s="116"/>
    </row>
    <row r="94" spans="1:35">
      <c r="A94" s="1102"/>
      <c r="B94" s="1038">
        <v>41651</v>
      </c>
      <c r="C94" s="116"/>
      <c r="D94" s="116"/>
      <c r="E94" s="116"/>
      <c r="F94" s="116"/>
      <c r="G94" s="116"/>
      <c r="H94" s="116"/>
      <c r="I94" s="116"/>
      <c r="J94" s="116"/>
      <c r="K94" s="116"/>
      <c r="L94" s="1058"/>
      <c r="M94" s="1058"/>
      <c r="N94" s="1058"/>
      <c r="O94" s="1058"/>
      <c r="P94" s="1058"/>
      <c r="Q94" s="1058"/>
      <c r="R94" s="1058"/>
      <c r="S94" s="1058"/>
      <c r="T94" s="116"/>
      <c r="U94" s="116"/>
      <c r="V94" s="116"/>
      <c r="W94" s="116"/>
      <c r="X94" s="1191"/>
      <c r="Y94" s="1191"/>
      <c r="Z94" s="1058"/>
      <c r="AA94" s="1058"/>
      <c r="AB94" s="1058"/>
      <c r="AC94" s="1058"/>
      <c r="AD94" s="1058"/>
      <c r="AE94" s="1058"/>
      <c r="AF94" s="116"/>
      <c r="AG94" s="116"/>
      <c r="AH94" s="116"/>
      <c r="AI94" s="116"/>
    </row>
    <row r="95" spans="1:35">
      <c r="A95" s="1102"/>
      <c r="B95" s="1038">
        <v>41652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058"/>
      <c r="M95" s="1058"/>
      <c r="N95" s="1058"/>
      <c r="O95" s="1058"/>
      <c r="P95" s="1058"/>
      <c r="Q95" s="1058"/>
      <c r="R95" s="1058"/>
      <c r="S95" s="1058"/>
      <c r="T95" s="116"/>
      <c r="U95" s="116"/>
      <c r="V95" s="116"/>
      <c r="W95" s="116"/>
      <c r="X95" s="1191"/>
      <c r="Y95" s="1191"/>
      <c r="Z95" s="1058"/>
      <c r="AA95" s="1058"/>
      <c r="AB95" s="1058"/>
      <c r="AC95" s="1058"/>
      <c r="AD95" s="1058"/>
      <c r="AE95" s="1058"/>
      <c r="AF95" s="116"/>
      <c r="AG95" s="116"/>
      <c r="AH95" s="116"/>
      <c r="AI95" s="116"/>
    </row>
    <row r="96" spans="1:35">
      <c r="A96" s="1102"/>
      <c r="B96" s="1038">
        <v>41653</v>
      </c>
      <c r="C96" s="116">
        <v>2.42</v>
      </c>
      <c r="D96" s="116">
        <v>86.93</v>
      </c>
      <c r="E96" s="116"/>
      <c r="F96" s="116"/>
      <c r="G96" s="116"/>
      <c r="H96" s="116"/>
      <c r="I96" s="116"/>
      <c r="J96" s="116"/>
      <c r="K96" s="116"/>
      <c r="L96" s="1191">
        <v>1.6</v>
      </c>
      <c r="M96" s="1191">
        <v>71.03</v>
      </c>
      <c r="N96" s="1058"/>
      <c r="O96" s="1058"/>
      <c r="P96" s="1058"/>
      <c r="Q96" s="1058"/>
      <c r="R96" s="1058"/>
      <c r="S96" s="1058"/>
      <c r="T96" s="116">
        <v>40.074906367041194</v>
      </c>
      <c r="U96" s="116">
        <v>27.245426303072151</v>
      </c>
      <c r="V96" s="116">
        <v>46.067947230223581</v>
      </c>
      <c r="W96" s="116">
        <v>34.521528962497811</v>
      </c>
      <c r="X96" s="1191">
        <v>1.85</v>
      </c>
      <c r="Y96" s="1191">
        <v>64.709999999999994</v>
      </c>
      <c r="Z96" s="1058"/>
      <c r="AA96" s="1058"/>
      <c r="AB96" s="1058"/>
      <c r="AC96" s="1058"/>
      <c r="AD96" s="1058"/>
      <c r="AE96" s="1058"/>
      <c r="AF96" s="116">
        <v>30.711610486891381</v>
      </c>
      <c r="AG96" s="116">
        <v>40.274865400963463</v>
      </c>
      <c r="AH96" s="116">
        <v>43.189543157339962</v>
      </c>
      <c r="AI96" s="116">
        <v>51.030580947206097</v>
      </c>
    </row>
    <row r="97" spans="1:35">
      <c r="A97" s="1102"/>
      <c r="B97" s="1038">
        <v>41654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058"/>
      <c r="M97" s="1058"/>
      <c r="N97" s="1058"/>
      <c r="O97" s="1058"/>
      <c r="P97" s="1058"/>
      <c r="Q97" s="1058"/>
      <c r="R97" s="1058"/>
      <c r="S97" s="1058"/>
      <c r="T97" s="116"/>
      <c r="U97" s="116"/>
      <c r="V97" s="116"/>
      <c r="W97" s="116"/>
      <c r="X97" s="1191"/>
      <c r="Y97" s="1191"/>
      <c r="Z97" s="1058"/>
      <c r="AA97" s="1058"/>
      <c r="AB97" s="1058"/>
      <c r="AC97" s="1058"/>
      <c r="AD97" s="1058"/>
      <c r="AE97" s="1058"/>
      <c r="AF97" s="116"/>
      <c r="AG97" s="116"/>
      <c r="AH97" s="116"/>
      <c r="AI97" s="116"/>
    </row>
    <row r="98" spans="1:35">
      <c r="A98" s="1102"/>
      <c r="B98" s="1038">
        <v>41655</v>
      </c>
      <c r="C98" s="116"/>
      <c r="D98" s="116"/>
      <c r="E98" s="116"/>
      <c r="F98" s="116"/>
      <c r="G98" s="116"/>
      <c r="H98" s="116"/>
      <c r="I98" s="116"/>
      <c r="J98" s="116"/>
      <c r="K98" s="116"/>
      <c r="L98" s="1058"/>
      <c r="M98" s="1058"/>
      <c r="N98" s="1058"/>
      <c r="O98" s="1058"/>
      <c r="P98" s="1058"/>
      <c r="Q98" s="1058"/>
      <c r="R98" s="1058"/>
      <c r="S98" s="1058"/>
      <c r="T98" s="116"/>
      <c r="U98" s="116"/>
      <c r="V98" s="116"/>
      <c r="W98" s="116"/>
      <c r="X98" s="1191"/>
      <c r="Y98" s="1191"/>
      <c r="Z98" s="1058"/>
      <c r="AA98" s="1058"/>
      <c r="AB98" s="1058"/>
      <c r="AC98" s="1058"/>
      <c r="AD98" s="1058"/>
      <c r="AE98" s="1058"/>
      <c r="AF98" s="116"/>
      <c r="AG98" s="116"/>
      <c r="AH98" s="116"/>
      <c r="AI98" s="116"/>
    </row>
    <row r="99" spans="1:35">
      <c r="A99" s="1102"/>
      <c r="B99" s="1038">
        <v>41656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058"/>
      <c r="M99" s="1058"/>
      <c r="N99" s="1058"/>
      <c r="O99" s="1058"/>
      <c r="P99" s="1058"/>
      <c r="Q99" s="1058"/>
      <c r="R99" s="1058"/>
      <c r="S99" s="1058"/>
      <c r="T99" s="116"/>
      <c r="U99" s="116"/>
      <c r="V99" s="116"/>
      <c r="W99" s="116"/>
      <c r="X99" s="1191"/>
      <c r="Y99" s="1191"/>
      <c r="Z99" s="1058"/>
      <c r="AA99" s="1058"/>
      <c r="AB99" s="1058"/>
      <c r="AC99" s="1058"/>
      <c r="AD99" s="1058"/>
      <c r="AE99" s="1058"/>
      <c r="AF99" s="116"/>
      <c r="AG99" s="116"/>
      <c r="AH99" s="116"/>
      <c r="AI99" s="116"/>
    </row>
    <row r="100" spans="1:35">
      <c r="A100" s="1102"/>
      <c r="B100" s="1038">
        <v>41657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058"/>
      <c r="M100" s="1058"/>
      <c r="N100" s="1058"/>
      <c r="O100" s="1058"/>
      <c r="P100" s="1058"/>
      <c r="Q100" s="1058"/>
      <c r="R100" s="1058"/>
      <c r="S100" s="1058"/>
      <c r="T100" s="116"/>
      <c r="U100" s="116"/>
      <c r="V100" s="116"/>
      <c r="W100" s="116"/>
      <c r="X100" s="1191"/>
      <c r="Y100" s="1191"/>
      <c r="Z100" s="1058"/>
      <c r="AA100" s="1058"/>
      <c r="AB100" s="1058"/>
      <c r="AC100" s="1058"/>
      <c r="AD100" s="1058"/>
      <c r="AE100" s="1058"/>
      <c r="AF100" s="116"/>
      <c r="AG100" s="116"/>
      <c r="AH100" s="116"/>
      <c r="AI100" s="116"/>
    </row>
    <row r="101" spans="1:35">
      <c r="A101" s="1102"/>
      <c r="B101" s="1038">
        <v>41658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058"/>
      <c r="M101" s="1058"/>
      <c r="N101" s="1058"/>
      <c r="O101" s="1058"/>
      <c r="P101" s="1058"/>
      <c r="Q101" s="1058"/>
      <c r="R101" s="1058"/>
      <c r="S101" s="1058"/>
      <c r="T101" s="116"/>
      <c r="U101" s="116"/>
      <c r="V101" s="116"/>
      <c r="W101" s="116"/>
      <c r="X101" s="1191"/>
      <c r="Y101" s="1191"/>
      <c r="Z101" s="1058"/>
      <c r="AA101" s="1058"/>
      <c r="AB101" s="1058"/>
      <c r="AC101" s="1058"/>
      <c r="AD101" s="1058"/>
      <c r="AE101" s="1058"/>
      <c r="AF101" s="116"/>
      <c r="AG101" s="116"/>
      <c r="AH101" s="116"/>
      <c r="AI101" s="116"/>
    </row>
    <row r="102" spans="1:35">
      <c r="A102" s="1102"/>
      <c r="B102" s="1038">
        <v>41659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058"/>
      <c r="M102" s="1058"/>
      <c r="N102" s="1058"/>
      <c r="O102" s="1058"/>
      <c r="P102" s="1058"/>
      <c r="Q102" s="1058"/>
      <c r="R102" s="1058"/>
      <c r="S102" s="1058"/>
      <c r="T102" s="116"/>
      <c r="U102" s="116"/>
      <c r="V102" s="116"/>
      <c r="W102" s="116"/>
      <c r="X102" s="1191"/>
      <c r="Y102" s="1191"/>
      <c r="Z102" s="1058"/>
      <c r="AA102" s="1058"/>
      <c r="AB102" s="1058"/>
      <c r="AC102" s="1058"/>
      <c r="AD102" s="1058"/>
      <c r="AE102" s="1058"/>
      <c r="AF102" s="116"/>
      <c r="AG102" s="116"/>
      <c r="AH102" s="116"/>
      <c r="AI102" s="116"/>
    </row>
    <row r="103" spans="1:35">
      <c r="A103" s="1102"/>
      <c r="B103" s="1038">
        <v>41660</v>
      </c>
      <c r="C103" s="116">
        <v>3.2166739883828783</v>
      </c>
      <c r="D103" s="116">
        <v>74.962063732928613</v>
      </c>
      <c r="E103" s="116"/>
      <c r="F103" s="116"/>
      <c r="G103" s="116"/>
      <c r="H103" s="116"/>
      <c r="I103" s="116"/>
      <c r="J103" s="116"/>
      <c r="K103" s="116"/>
      <c r="L103" s="1193">
        <v>1.7654315735738313</v>
      </c>
      <c r="M103" s="1193">
        <v>66.265060240963763</v>
      </c>
      <c r="N103" s="1058"/>
      <c r="O103" s="1058"/>
      <c r="P103" s="1058"/>
      <c r="Q103" s="1058"/>
      <c r="R103" s="1058"/>
      <c r="S103" s="1058"/>
      <c r="T103" s="116">
        <v>32.659971499202051</v>
      </c>
      <c r="U103" s="116">
        <v>37.006576035118265</v>
      </c>
      <c r="V103" s="116">
        <v>43.335415672875364</v>
      </c>
      <c r="W103" s="116">
        <v>46.992951090449004</v>
      </c>
      <c r="X103" s="1193">
        <v>1.7382906808305199</v>
      </c>
      <c r="Y103" s="1193">
        <v>64.898989898989598</v>
      </c>
      <c r="Z103" s="1058"/>
      <c r="AA103" s="1058"/>
      <c r="AB103" s="1058"/>
      <c r="AC103" s="1058"/>
      <c r="AD103" s="1058"/>
      <c r="AE103" s="1058"/>
      <c r="AF103" s="116">
        <v>33.695224588718212</v>
      </c>
      <c r="AG103" s="116">
        <v>39.458170674993099</v>
      </c>
      <c r="AH103" s="116">
        <v>45.356745193423095</v>
      </c>
      <c r="AI103" s="116">
        <v>50.106118514960698</v>
      </c>
    </row>
    <row r="104" spans="1:35">
      <c r="A104" s="1102"/>
      <c r="B104" s="1038">
        <v>41661</v>
      </c>
      <c r="C104" s="116"/>
      <c r="D104" s="116"/>
      <c r="E104" s="116"/>
      <c r="F104" s="116"/>
      <c r="G104" s="116"/>
      <c r="H104" s="116"/>
      <c r="I104" s="116"/>
      <c r="J104" s="116"/>
      <c r="K104" s="116"/>
      <c r="L104" s="1058"/>
      <c r="M104" s="1058"/>
      <c r="N104" s="1058"/>
      <c r="O104" s="1058"/>
      <c r="P104" s="1058"/>
      <c r="Q104" s="1058"/>
      <c r="R104" s="1058"/>
      <c r="S104" s="1058"/>
      <c r="T104" s="116"/>
      <c r="U104" s="116"/>
      <c r="V104" s="116"/>
      <c r="W104" s="116"/>
      <c r="X104" s="1058"/>
      <c r="Y104" s="1058"/>
      <c r="Z104" s="1058"/>
      <c r="AA104" s="1058"/>
      <c r="AB104" s="1058"/>
      <c r="AC104" s="1058"/>
      <c r="AD104" s="1058"/>
      <c r="AE104" s="1058"/>
      <c r="AF104" s="116"/>
      <c r="AG104" s="116"/>
      <c r="AH104" s="116"/>
      <c r="AI104" s="116"/>
    </row>
    <row r="105" spans="1:35">
      <c r="A105" s="1102"/>
      <c r="B105" s="1038">
        <v>41662</v>
      </c>
      <c r="C105" s="116">
        <v>3.1</v>
      </c>
      <c r="D105" s="116">
        <v>77.099999999999994</v>
      </c>
      <c r="E105" s="116">
        <v>37400</v>
      </c>
      <c r="F105" s="116"/>
      <c r="G105" s="116">
        <v>41.1</v>
      </c>
      <c r="H105" s="116">
        <v>4165</v>
      </c>
      <c r="I105" s="116">
        <v>1991</v>
      </c>
      <c r="J105" s="116">
        <v>27.8</v>
      </c>
      <c r="K105" s="116">
        <v>158</v>
      </c>
      <c r="L105" s="1058">
        <v>1.7</v>
      </c>
      <c r="M105" s="1058">
        <v>64.099999999999994</v>
      </c>
      <c r="N105" s="1058">
        <v>17600</v>
      </c>
      <c r="O105" s="1058">
        <v>35.299999999999997</v>
      </c>
      <c r="P105" s="1058">
        <v>1028</v>
      </c>
      <c r="Q105" s="1058">
        <v>304</v>
      </c>
      <c r="R105" s="1058">
        <v>57.7</v>
      </c>
      <c r="S105" s="1058">
        <v>167</v>
      </c>
      <c r="T105" s="116">
        <v>34.982170169891582</v>
      </c>
      <c r="U105" s="116">
        <v>40.724808839255864</v>
      </c>
      <c r="V105" s="116">
        <v>47.057520754621763</v>
      </c>
      <c r="W105" s="116">
        <v>51.733615440663321</v>
      </c>
      <c r="X105" s="1058">
        <v>1.6</v>
      </c>
      <c r="Y105" s="1058">
        <v>64.400000000000006</v>
      </c>
      <c r="Z105" s="1058">
        <v>18400</v>
      </c>
      <c r="AA105" s="1058">
        <v>35.799999999999997</v>
      </c>
      <c r="AB105" s="1058">
        <v>1845</v>
      </c>
      <c r="AC105" s="1058">
        <v>480</v>
      </c>
      <c r="AD105" s="1058">
        <v>64.3</v>
      </c>
      <c r="AE105" s="1058">
        <v>137</v>
      </c>
      <c r="AF105" s="116">
        <v>38.806748395192074</v>
      </c>
      <c r="AG105" s="116">
        <v>40.225298801384412</v>
      </c>
      <c r="AH105" s="116">
        <v>49.9385788616704</v>
      </c>
      <c r="AI105" s="116">
        <v>51.09907691379162</v>
      </c>
    </row>
    <row r="106" spans="1:35">
      <c r="A106" s="1102"/>
      <c r="B106" s="1038">
        <v>41663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058"/>
      <c r="M106" s="1058"/>
      <c r="N106" s="1058"/>
      <c r="O106" s="1058"/>
      <c r="P106" s="1058"/>
      <c r="Q106" s="1058"/>
      <c r="R106" s="1058"/>
      <c r="S106" s="1058"/>
      <c r="T106" s="116"/>
      <c r="U106" s="116"/>
      <c r="V106" s="116"/>
      <c r="W106" s="116"/>
      <c r="X106" s="1058"/>
      <c r="Y106" s="1058"/>
      <c r="Z106" s="1058"/>
      <c r="AA106" s="1058"/>
      <c r="AB106" s="1058"/>
      <c r="AC106" s="1058"/>
      <c r="AD106" s="1058"/>
      <c r="AE106" s="1058"/>
      <c r="AF106" s="116"/>
      <c r="AG106" s="116"/>
      <c r="AH106" s="116"/>
      <c r="AI106" s="116"/>
    </row>
    <row r="107" spans="1:35">
      <c r="A107" s="1102"/>
      <c r="B107" s="1038">
        <v>41664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058"/>
      <c r="M107" s="1058"/>
      <c r="N107" s="1058"/>
      <c r="O107" s="1058"/>
      <c r="P107" s="1058"/>
      <c r="Q107" s="1058"/>
      <c r="R107" s="1058"/>
      <c r="S107" s="1058"/>
      <c r="T107" s="116"/>
      <c r="U107" s="116"/>
      <c r="V107" s="116"/>
      <c r="W107" s="116"/>
      <c r="X107" s="1058"/>
      <c r="Y107" s="1058"/>
      <c r="Z107" s="1058"/>
      <c r="AA107" s="1058"/>
      <c r="AB107" s="1058"/>
      <c r="AC107" s="1058"/>
      <c r="AD107" s="1058"/>
      <c r="AE107" s="1058"/>
      <c r="AF107" s="116"/>
      <c r="AG107" s="116"/>
      <c r="AH107" s="116"/>
      <c r="AI107" s="116"/>
    </row>
    <row r="108" spans="1:35">
      <c r="A108" s="1102"/>
      <c r="B108" s="1038">
        <v>41665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058"/>
      <c r="M108" s="1058"/>
      <c r="N108" s="1058"/>
      <c r="O108" s="1058"/>
      <c r="P108" s="1058"/>
      <c r="Q108" s="1058"/>
      <c r="R108" s="1058"/>
      <c r="S108" s="1058"/>
      <c r="T108" s="116"/>
      <c r="U108" s="116"/>
      <c r="V108" s="116"/>
      <c r="W108" s="116"/>
      <c r="X108" s="1058"/>
      <c r="Y108" s="1058"/>
      <c r="Z108" s="1058"/>
      <c r="AA108" s="1058"/>
      <c r="AB108" s="1058"/>
      <c r="AC108" s="1058"/>
      <c r="AD108" s="1058"/>
      <c r="AE108" s="1058"/>
      <c r="AF108" s="116"/>
      <c r="AG108" s="116"/>
      <c r="AH108" s="116"/>
      <c r="AI108" s="116"/>
    </row>
    <row r="109" spans="1:35">
      <c r="A109" s="1102"/>
      <c r="B109" s="1038">
        <v>41666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058"/>
      <c r="M109" s="1058"/>
      <c r="N109" s="1058"/>
      <c r="O109" s="1058"/>
      <c r="P109" s="1058"/>
      <c r="Q109" s="1058"/>
      <c r="R109" s="1058"/>
      <c r="S109" s="1058"/>
      <c r="T109" s="116"/>
      <c r="U109" s="116"/>
      <c r="V109" s="116"/>
      <c r="W109" s="116"/>
      <c r="X109" s="1058"/>
      <c r="Y109" s="1058"/>
      <c r="Z109" s="1058"/>
      <c r="AA109" s="1058"/>
      <c r="AB109" s="1058"/>
      <c r="AC109" s="1058"/>
      <c r="AD109" s="1058"/>
      <c r="AE109" s="1058"/>
      <c r="AF109" s="116"/>
      <c r="AG109" s="116"/>
      <c r="AH109" s="116"/>
      <c r="AI109" s="116"/>
    </row>
    <row r="110" spans="1:35">
      <c r="A110" s="1102"/>
      <c r="B110" s="1038">
        <v>41667</v>
      </c>
      <c r="C110" s="116">
        <v>2.4396013839193307</v>
      </c>
      <c r="D110" s="116">
        <v>79.030303030303159</v>
      </c>
      <c r="E110" s="116"/>
      <c r="F110" s="116"/>
      <c r="G110" s="116"/>
      <c r="H110" s="116"/>
      <c r="I110" s="116"/>
      <c r="J110" s="116"/>
      <c r="K110" s="116"/>
      <c r="L110" s="1193">
        <v>1.5305101700566868</v>
      </c>
      <c r="M110" s="1193">
        <v>65.795206971677743</v>
      </c>
      <c r="N110" s="1058"/>
      <c r="O110" s="1058"/>
      <c r="P110" s="1058"/>
      <c r="Q110" s="1058"/>
      <c r="R110" s="1058"/>
      <c r="S110" s="1058"/>
      <c r="T110" s="116">
        <v>39.947671925415833</v>
      </c>
      <c r="U110" s="116">
        <v>38.789972193836164</v>
      </c>
      <c r="V110" s="116">
        <v>50.025378154274321</v>
      </c>
      <c r="W110" s="116">
        <v>49.061958281114087</v>
      </c>
      <c r="X110" s="1193">
        <v>1.6575653444361831</v>
      </c>
      <c r="Y110" s="1193">
        <v>66.798418972332456</v>
      </c>
      <c r="Z110" s="1058"/>
      <c r="AA110" s="1058"/>
      <c r="AB110" s="1058"/>
      <c r="AC110" s="1058"/>
      <c r="AD110" s="1058"/>
      <c r="AE110" s="1058"/>
      <c r="AF110" s="116">
        <v>34.962432908592824</v>
      </c>
      <c r="AG110" s="116">
        <v>36.940462846543909</v>
      </c>
      <c r="AH110" s="116">
        <v>45.051495003947828</v>
      </c>
      <c r="AI110" s="116">
        <v>46.722679717470214</v>
      </c>
    </row>
    <row r="111" spans="1:35">
      <c r="A111" s="1102"/>
      <c r="B111" s="1038">
        <v>41668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058"/>
      <c r="M111" s="1058"/>
      <c r="N111" s="1058"/>
      <c r="O111" s="1058"/>
      <c r="P111" s="1058"/>
      <c r="Q111" s="1058"/>
      <c r="R111" s="1058"/>
      <c r="S111" s="1058"/>
      <c r="T111" s="116"/>
      <c r="U111" s="116"/>
      <c r="V111" s="116"/>
      <c r="W111" s="116"/>
      <c r="X111" s="1058"/>
      <c r="Y111" s="1058"/>
      <c r="Z111" s="1058"/>
      <c r="AA111" s="1058"/>
      <c r="AB111" s="1058"/>
      <c r="AC111" s="1058"/>
      <c r="AD111" s="1058"/>
      <c r="AE111" s="1058"/>
      <c r="AF111" s="116"/>
      <c r="AG111" s="116"/>
      <c r="AH111" s="116"/>
      <c r="AI111" s="116"/>
    </row>
    <row r="112" spans="1:35">
      <c r="A112" s="1102"/>
      <c r="B112" s="1038">
        <v>41669</v>
      </c>
      <c r="C112" s="116"/>
      <c r="D112" s="116"/>
      <c r="E112" s="116"/>
      <c r="F112" s="116"/>
      <c r="G112" s="116"/>
      <c r="H112" s="116"/>
      <c r="I112" s="116"/>
      <c r="J112" s="116"/>
      <c r="K112" s="116"/>
      <c r="L112" s="1058"/>
      <c r="M112" s="1058"/>
      <c r="N112" s="1058"/>
      <c r="O112" s="1058"/>
      <c r="P112" s="1058"/>
      <c r="Q112" s="1058"/>
      <c r="R112" s="1058"/>
      <c r="S112" s="1058"/>
      <c r="T112" s="116"/>
      <c r="U112" s="116"/>
      <c r="V112" s="116"/>
      <c r="W112" s="116"/>
      <c r="X112" s="1058"/>
      <c r="Y112" s="1058"/>
      <c r="Z112" s="1058"/>
      <c r="AA112" s="1058"/>
      <c r="AB112" s="1058"/>
      <c r="AC112" s="1058"/>
      <c r="AD112" s="1058"/>
      <c r="AE112" s="1058"/>
      <c r="AF112" s="116"/>
      <c r="AG112" s="116"/>
      <c r="AH112" s="116"/>
      <c r="AI112" s="116"/>
    </row>
    <row r="113" spans="1:35">
      <c r="A113" s="1102"/>
      <c r="B113" s="1038">
        <v>41670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058"/>
      <c r="M113" s="1058"/>
      <c r="N113" s="1058"/>
      <c r="O113" s="1058"/>
      <c r="P113" s="1058"/>
      <c r="Q113" s="1058"/>
      <c r="R113" s="1058"/>
      <c r="S113" s="1058"/>
      <c r="T113" s="116"/>
      <c r="U113" s="116"/>
      <c r="V113" s="116"/>
      <c r="W113" s="116"/>
      <c r="X113" s="1058"/>
      <c r="Y113" s="1058"/>
      <c r="Z113" s="1058"/>
      <c r="AA113" s="1058"/>
      <c r="AB113" s="1058"/>
      <c r="AC113" s="1058"/>
      <c r="AD113" s="1058"/>
      <c r="AE113" s="1058"/>
      <c r="AF113" s="116"/>
      <c r="AG113" s="116"/>
      <c r="AH113" s="116"/>
      <c r="AI113" s="116"/>
    </row>
    <row r="114" spans="1:35">
      <c r="A114" s="1102"/>
      <c r="B114" s="1038">
        <v>41671</v>
      </c>
      <c r="C114" s="116"/>
      <c r="D114" s="116"/>
      <c r="E114" s="116"/>
      <c r="F114" s="116"/>
      <c r="G114" s="116"/>
      <c r="H114" s="116"/>
      <c r="I114" s="116"/>
      <c r="J114" s="116"/>
      <c r="K114" s="116"/>
      <c r="L114" s="1058"/>
      <c r="M114" s="1058"/>
      <c r="N114" s="1058"/>
      <c r="O114" s="1058"/>
      <c r="P114" s="1058"/>
      <c r="Q114" s="1058"/>
      <c r="R114" s="1058"/>
      <c r="S114" s="1058"/>
      <c r="T114" s="116"/>
      <c r="U114" s="116"/>
      <c r="V114" s="116"/>
      <c r="W114" s="116"/>
      <c r="X114" s="1058"/>
      <c r="Y114" s="1058"/>
      <c r="Z114" s="1058"/>
      <c r="AA114" s="1058"/>
      <c r="AB114" s="1058"/>
      <c r="AC114" s="1058"/>
      <c r="AD114" s="1058"/>
      <c r="AE114" s="1058"/>
      <c r="AF114" s="116"/>
      <c r="AG114" s="116"/>
      <c r="AH114" s="116"/>
      <c r="AI114" s="116"/>
    </row>
    <row r="115" spans="1:35">
      <c r="A115" s="1102"/>
      <c r="B115" s="1038">
        <v>41672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058"/>
      <c r="M115" s="1058"/>
      <c r="N115" s="1058"/>
      <c r="O115" s="1058"/>
      <c r="P115" s="1058"/>
      <c r="Q115" s="1058"/>
      <c r="R115" s="1058"/>
      <c r="S115" s="1058"/>
      <c r="T115" s="116"/>
      <c r="U115" s="116"/>
      <c r="V115" s="116"/>
      <c r="W115" s="116"/>
      <c r="X115" s="1058"/>
      <c r="Y115" s="1058"/>
      <c r="Z115" s="1058"/>
      <c r="AA115" s="1058"/>
      <c r="AB115" s="1058"/>
      <c r="AC115" s="1058"/>
      <c r="AD115" s="1058"/>
      <c r="AE115" s="1058"/>
      <c r="AF115" s="116"/>
      <c r="AG115" s="116"/>
      <c r="AH115" s="116"/>
      <c r="AI115" s="116"/>
    </row>
    <row r="116" spans="1:35">
      <c r="A116" s="1102"/>
      <c r="B116" s="1038">
        <v>41673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058"/>
      <c r="M116" s="1058"/>
      <c r="N116" s="1058"/>
      <c r="O116" s="1058"/>
      <c r="P116" s="1058"/>
      <c r="Q116" s="1058"/>
      <c r="R116" s="1058"/>
      <c r="S116" s="1058"/>
      <c r="T116" s="116"/>
      <c r="U116" s="116"/>
      <c r="V116" s="116"/>
      <c r="W116" s="116"/>
      <c r="X116" s="1058"/>
      <c r="Y116" s="1058"/>
      <c r="Z116" s="1058"/>
      <c r="AA116" s="1058"/>
      <c r="AB116" s="1058"/>
      <c r="AC116" s="1058"/>
      <c r="AD116" s="1058"/>
      <c r="AE116" s="1058"/>
      <c r="AF116" s="116"/>
      <c r="AG116" s="116"/>
      <c r="AH116" s="116"/>
      <c r="AI116" s="116"/>
    </row>
    <row r="117" spans="1:35">
      <c r="A117" s="1102"/>
      <c r="B117" s="1038">
        <v>41674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058"/>
      <c r="M117" s="1058"/>
      <c r="N117" s="1058"/>
      <c r="O117" s="1058"/>
      <c r="P117" s="1058"/>
      <c r="Q117" s="1058"/>
      <c r="R117" s="1058"/>
      <c r="S117" s="1058"/>
      <c r="T117" s="116"/>
      <c r="U117" s="116"/>
      <c r="V117" s="116"/>
      <c r="W117" s="116"/>
      <c r="X117" s="1058"/>
      <c r="Y117" s="1058"/>
      <c r="Z117" s="1058"/>
      <c r="AA117" s="1058"/>
      <c r="AB117" s="1058"/>
      <c r="AC117" s="1058"/>
      <c r="AD117" s="1058"/>
      <c r="AE117" s="1058"/>
      <c r="AF117" s="116"/>
      <c r="AG117" s="116"/>
      <c r="AH117" s="116"/>
      <c r="AI117" s="116"/>
    </row>
    <row r="118" spans="1:35">
      <c r="A118" s="1102"/>
      <c r="B118" s="1038">
        <v>41675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058"/>
      <c r="M118" s="1058"/>
      <c r="N118" s="1058"/>
      <c r="O118" s="1058"/>
      <c r="P118" s="1058"/>
      <c r="Q118" s="1058"/>
      <c r="R118" s="1058"/>
      <c r="S118" s="1058"/>
      <c r="T118" s="116"/>
      <c r="U118" s="116"/>
      <c r="V118" s="116"/>
      <c r="W118" s="116"/>
      <c r="X118" s="1058"/>
      <c r="Y118" s="1058"/>
      <c r="Z118" s="1058"/>
      <c r="AA118" s="1058"/>
      <c r="AB118" s="1058"/>
      <c r="AC118" s="1058"/>
      <c r="AD118" s="1058"/>
      <c r="AE118" s="1058"/>
      <c r="AF118" s="116"/>
      <c r="AG118" s="116"/>
      <c r="AH118" s="116"/>
      <c r="AI118" s="116"/>
    </row>
    <row r="119" spans="1:35">
      <c r="A119" s="1102"/>
      <c r="B119" s="1038">
        <v>41676</v>
      </c>
      <c r="C119" s="116">
        <v>2.7183616951499499</v>
      </c>
      <c r="D119" s="116">
        <v>73.994638069705161</v>
      </c>
      <c r="E119" s="116"/>
      <c r="F119" s="116">
        <v>6.76</v>
      </c>
      <c r="G119" s="116"/>
      <c r="H119" s="116"/>
      <c r="I119" s="116"/>
      <c r="J119" s="116"/>
      <c r="K119" s="116"/>
      <c r="L119" s="1193">
        <v>1.6249044765313891</v>
      </c>
      <c r="M119" s="1193">
        <v>65.099009900990112</v>
      </c>
      <c r="N119" s="1058"/>
      <c r="O119" s="1058"/>
      <c r="P119" s="1058"/>
      <c r="Q119" s="1058"/>
      <c r="R119" s="1058"/>
      <c r="S119" s="1058"/>
      <c r="T119" s="116">
        <v>36.114501173255412</v>
      </c>
      <c r="U119" s="116">
        <v>39.078234008869806</v>
      </c>
      <c r="V119" s="116">
        <v>47.180541276610477</v>
      </c>
      <c r="W119" s="116">
        <v>49.630905867210728</v>
      </c>
      <c r="X119" s="1193">
        <v>1.6615941432919275</v>
      </c>
      <c r="Y119" s="1193">
        <v>63.366336633663551</v>
      </c>
      <c r="Z119" s="1058"/>
      <c r="AA119" s="1058"/>
      <c r="AB119" s="1058"/>
      <c r="AC119" s="1058"/>
      <c r="AD119" s="1058"/>
      <c r="AE119" s="1058"/>
      <c r="AF119" s="116">
        <v>34.671993200240578</v>
      </c>
      <c r="AG119" s="116">
        <v>41.959668886828403</v>
      </c>
      <c r="AH119" s="116">
        <v>47.425484296964662</v>
      </c>
      <c r="AI119" s="116">
        <v>53.290442353890278</v>
      </c>
    </row>
    <row r="120" spans="1:35">
      <c r="A120" s="1102"/>
      <c r="B120" s="1038">
        <v>41677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058"/>
      <c r="M120" s="1058"/>
      <c r="N120" s="1058"/>
      <c r="O120" s="1058"/>
      <c r="P120" s="1058"/>
      <c r="Q120" s="1058"/>
      <c r="R120" s="1058"/>
      <c r="S120" s="1058"/>
      <c r="T120" s="116"/>
      <c r="U120" s="116"/>
      <c r="V120" s="116"/>
      <c r="W120" s="116"/>
      <c r="X120" s="1058"/>
      <c r="Y120" s="1058"/>
      <c r="Z120" s="1058"/>
      <c r="AA120" s="1058"/>
      <c r="AB120" s="1058"/>
      <c r="AC120" s="1058"/>
      <c r="AD120" s="1058"/>
      <c r="AE120" s="1058"/>
      <c r="AF120" s="116"/>
      <c r="AG120" s="116"/>
      <c r="AH120" s="116"/>
      <c r="AI120" s="116"/>
    </row>
    <row r="121" spans="1:35">
      <c r="A121" s="1102"/>
      <c r="B121" s="1038">
        <v>41678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058"/>
      <c r="M121" s="1058"/>
      <c r="N121" s="1058"/>
      <c r="O121" s="1058"/>
      <c r="P121" s="1058"/>
      <c r="Q121" s="1058"/>
      <c r="R121" s="1058"/>
      <c r="S121" s="1058"/>
      <c r="T121" s="116"/>
      <c r="U121" s="116"/>
      <c r="V121" s="116"/>
      <c r="W121" s="116"/>
      <c r="X121" s="1058"/>
      <c r="Y121" s="1058"/>
      <c r="Z121" s="1058"/>
      <c r="AA121" s="1058"/>
      <c r="AB121" s="1058"/>
      <c r="AC121" s="1058"/>
      <c r="AD121" s="1058"/>
      <c r="AE121" s="1058"/>
      <c r="AF121" s="116"/>
      <c r="AG121" s="116"/>
      <c r="AH121" s="116"/>
      <c r="AI121" s="116"/>
    </row>
    <row r="122" spans="1:35">
      <c r="A122" s="1102"/>
      <c r="B122" s="1038">
        <v>41679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058"/>
      <c r="M122" s="1058"/>
      <c r="N122" s="1058"/>
      <c r="O122" s="1058"/>
      <c r="P122" s="1058"/>
      <c r="Q122" s="1058"/>
      <c r="R122" s="1058"/>
      <c r="S122" s="1058"/>
      <c r="T122" s="116"/>
      <c r="U122" s="116"/>
      <c r="V122" s="116"/>
      <c r="W122" s="116"/>
      <c r="X122" s="1058"/>
      <c r="Y122" s="1058"/>
      <c r="Z122" s="1058"/>
      <c r="AA122" s="1058"/>
      <c r="AB122" s="1058"/>
      <c r="AC122" s="1058"/>
      <c r="AD122" s="1058"/>
      <c r="AE122" s="1058"/>
      <c r="AF122" s="116"/>
      <c r="AG122" s="116"/>
      <c r="AH122" s="116"/>
      <c r="AI122" s="116"/>
    </row>
    <row r="123" spans="1:35">
      <c r="A123" s="1102"/>
      <c r="B123" s="1038">
        <v>41680</v>
      </c>
      <c r="C123" s="116">
        <v>2.8</v>
      </c>
      <c r="D123" s="116">
        <v>80.7</v>
      </c>
      <c r="E123" s="116">
        <v>41500</v>
      </c>
      <c r="F123" s="116"/>
      <c r="G123" s="116">
        <v>42</v>
      </c>
      <c r="H123" s="116">
        <v>3914</v>
      </c>
      <c r="I123" s="116">
        <v>1907</v>
      </c>
      <c r="J123" s="116">
        <v>39.200000000000003</v>
      </c>
      <c r="K123" s="116">
        <v>171</v>
      </c>
      <c r="L123" s="1058">
        <v>1.6</v>
      </c>
      <c r="M123" s="1058">
        <v>65</v>
      </c>
      <c r="N123" s="1058">
        <v>17700</v>
      </c>
      <c r="O123" s="1058">
        <v>34.4</v>
      </c>
      <c r="P123" s="1058">
        <v>777</v>
      </c>
      <c r="Q123" s="1058">
        <v>175</v>
      </c>
      <c r="R123" s="1058">
        <v>50.6</v>
      </c>
      <c r="S123" s="1058">
        <v>198</v>
      </c>
      <c r="T123" s="116">
        <v>37.340014045492453</v>
      </c>
      <c r="U123" s="116">
        <v>39.907715666553379</v>
      </c>
      <c r="V123" s="116">
        <v>48.423227951222302</v>
      </c>
      <c r="W123" s="116">
        <v>50.536757968526913</v>
      </c>
      <c r="X123" s="1058">
        <v>1.7</v>
      </c>
      <c r="Y123" s="1058">
        <v>64.400000000000006</v>
      </c>
      <c r="Z123" s="1058">
        <v>17600</v>
      </c>
      <c r="AA123" s="1058">
        <v>35.4</v>
      </c>
      <c r="AB123" s="1058">
        <v>1815</v>
      </c>
      <c r="AC123" s="1058">
        <v>375</v>
      </c>
      <c r="AD123" s="1058">
        <v>62.4</v>
      </c>
      <c r="AE123" s="1058">
        <v>104</v>
      </c>
      <c r="AF123" s="116">
        <v>33.423764923335732</v>
      </c>
      <c r="AG123" s="116">
        <v>40.920506975544043</v>
      </c>
      <c r="AH123" s="116">
        <v>45.705528808652097</v>
      </c>
      <c r="AI123" s="116">
        <v>51.819296655600525</v>
      </c>
    </row>
    <row r="124" spans="1:35">
      <c r="A124" s="1102"/>
      <c r="B124" s="1038">
        <v>41681</v>
      </c>
      <c r="C124" s="116"/>
      <c r="D124" s="116"/>
      <c r="E124" s="116"/>
      <c r="F124" s="116"/>
      <c r="G124" s="116"/>
      <c r="H124" s="116"/>
      <c r="I124" s="116"/>
      <c r="J124" s="116"/>
      <c r="K124" s="116"/>
      <c r="L124" s="1058"/>
      <c r="M124" s="1058"/>
      <c r="N124" s="1058"/>
      <c r="O124" s="1058"/>
      <c r="P124" s="1058"/>
      <c r="Q124" s="1058"/>
      <c r="R124" s="1058"/>
      <c r="S124" s="1058"/>
      <c r="T124" s="116"/>
      <c r="U124" s="116"/>
      <c r="V124" s="116"/>
      <c r="W124" s="116"/>
      <c r="X124" s="1058"/>
      <c r="Y124" s="1058"/>
      <c r="Z124" s="1058"/>
      <c r="AA124" s="1058"/>
      <c r="AB124" s="1058"/>
      <c r="AC124" s="1058"/>
      <c r="AD124" s="1058"/>
      <c r="AE124" s="1058"/>
      <c r="AF124" s="116"/>
      <c r="AG124" s="116"/>
      <c r="AH124" s="116"/>
      <c r="AI124" s="116"/>
    </row>
    <row r="125" spans="1:35">
      <c r="A125" s="1102"/>
      <c r="B125" s="1038">
        <v>41682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058"/>
      <c r="M125" s="1058"/>
      <c r="N125" s="1058"/>
      <c r="O125" s="1058"/>
      <c r="P125" s="1058"/>
      <c r="Q125" s="1058"/>
      <c r="R125" s="1058"/>
      <c r="S125" s="1058"/>
      <c r="T125" s="116"/>
      <c r="U125" s="116"/>
      <c r="V125" s="116"/>
      <c r="W125" s="116"/>
      <c r="X125" s="1058"/>
      <c r="Y125" s="1058"/>
      <c r="Z125" s="1058"/>
      <c r="AA125" s="1058"/>
      <c r="AB125" s="1058"/>
      <c r="AC125" s="1058"/>
      <c r="AD125" s="1058"/>
      <c r="AE125" s="1058"/>
      <c r="AF125" s="116"/>
      <c r="AG125" s="116"/>
      <c r="AH125" s="116"/>
      <c r="AI125" s="116"/>
    </row>
    <row r="126" spans="1:35">
      <c r="A126" s="1102"/>
      <c r="B126" s="1038">
        <v>41683</v>
      </c>
      <c r="C126" s="116">
        <v>2.8</v>
      </c>
      <c r="D126" s="116">
        <v>75.599999999999994</v>
      </c>
      <c r="E126" s="116">
        <v>38700</v>
      </c>
      <c r="F126" s="116"/>
      <c r="G126" s="116"/>
      <c r="H126" s="116">
        <v>5654</v>
      </c>
      <c r="I126" s="116"/>
      <c r="J126" s="116"/>
      <c r="K126" s="116"/>
      <c r="L126" s="1058">
        <v>1.7</v>
      </c>
      <c r="M126" s="1058">
        <v>65.099999999999994</v>
      </c>
      <c r="N126" s="1058">
        <v>19900</v>
      </c>
      <c r="O126" s="1058"/>
      <c r="P126" s="1058">
        <v>1701</v>
      </c>
      <c r="Q126" s="1058"/>
      <c r="R126" s="1058"/>
      <c r="S126" s="1058"/>
      <c r="T126" s="116">
        <v>34.22233032086487</v>
      </c>
      <c r="U126" s="116">
        <v>39.219772158434651</v>
      </c>
      <c r="V126" s="116">
        <v>45.649812472700766</v>
      </c>
      <c r="W126" s="116">
        <v>49.779054240516764</v>
      </c>
      <c r="X126" s="1058">
        <v>1.7</v>
      </c>
      <c r="Y126" s="1058">
        <v>64.5</v>
      </c>
      <c r="Z126" s="1058">
        <v>16900</v>
      </c>
      <c r="AA126" s="1058"/>
      <c r="AB126" s="1058">
        <v>1929</v>
      </c>
      <c r="AC126" s="1058"/>
      <c r="AD126" s="1058"/>
      <c r="AE126" s="1058"/>
      <c r="AF126" s="116">
        <v>34.22233032086487</v>
      </c>
      <c r="AG126" s="116">
        <v>40.247043614911803</v>
      </c>
      <c r="AH126" s="116">
        <v>46.150735860049139</v>
      </c>
      <c r="AI126" s="116">
        <v>51.082901732162966</v>
      </c>
    </row>
    <row r="127" spans="1:35">
      <c r="A127" s="1102"/>
      <c r="B127" s="1038">
        <v>41684</v>
      </c>
      <c r="C127" s="116">
        <v>3.5169065220244047</v>
      </c>
      <c r="D127" s="116">
        <v>73.631840796019816</v>
      </c>
      <c r="E127" s="116"/>
      <c r="F127" s="116"/>
      <c r="G127" s="116"/>
      <c r="H127" s="116"/>
      <c r="I127" s="116"/>
      <c r="J127" s="116"/>
      <c r="K127" s="116"/>
      <c r="L127" s="1194">
        <v>1.7250279617998878</v>
      </c>
      <c r="M127" s="1194">
        <v>65.09</v>
      </c>
      <c r="N127" s="1058"/>
      <c r="O127" s="1058"/>
      <c r="P127" s="1058"/>
      <c r="Q127" s="1058"/>
      <c r="R127" s="1058"/>
      <c r="S127" s="1058"/>
      <c r="T127" s="116">
        <v>35.612968471235817</v>
      </c>
      <c r="U127" s="116">
        <v>38.183570790305566</v>
      </c>
      <c r="V127" s="116">
        <v>46.557535686679564</v>
      </c>
      <c r="W127" s="116">
        <v>48.691184644222361</v>
      </c>
      <c r="X127" s="1193">
        <v>1.7484042342306609</v>
      </c>
      <c r="Y127" s="1193">
        <v>64.625850340135969</v>
      </c>
      <c r="Z127" s="1058"/>
      <c r="AA127" s="1058"/>
      <c r="AB127" s="1058"/>
      <c r="AC127" s="1058"/>
      <c r="AD127" s="1058"/>
      <c r="AE127" s="1058"/>
      <c r="AF127" s="116">
        <v>34.740444185626721</v>
      </c>
      <c r="AG127" s="116">
        <v>38.994673668185996</v>
      </c>
      <c r="AH127" s="116">
        <v>46.219580520539004</v>
      </c>
      <c r="AI127" s="116">
        <v>49.725492310449418</v>
      </c>
    </row>
    <row r="128" spans="1:35">
      <c r="A128" s="1102"/>
      <c r="B128" s="1038">
        <v>41685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058"/>
      <c r="M128" s="1058"/>
      <c r="N128" s="1058"/>
      <c r="O128" s="1058"/>
      <c r="P128" s="1058"/>
      <c r="Q128" s="1058"/>
      <c r="R128" s="1058"/>
      <c r="S128" s="1058"/>
      <c r="T128" s="116"/>
      <c r="U128" s="116"/>
      <c r="V128" s="116"/>
      <c r="W128" s="116"/>
      <c r="X128" s="1058"/>
      <c r="Y128" s="1058"/>
      <c r="Z128" s="1058"/>
      <c r="AA128" s="1058"/>
      <c r="AB128" s="1058"/>
      <c r="AC128" s="1058"/>
      <c r="AD128" s="1058"/>
      <c r="AE128" s="1058"/>
      <c r="AF128" s="116"/>
      <c r="AG128" s="116"/>
      <c r="AH128" s="116"/>
      <c r="AI128" s="116"/>
    </row>
    <row r="129" spans="1:35">
      <c r="A129" s="1102"/>
      <c r="B129" s="1038">
        <v>41686</v>
      </c>
      <c r="C129" s="116"/>
      <c r="D129" s="116"/>
      <c r="E129" s="116"/>
      <c r="F129" s="116"/>
      <c r="G129" s="116"/>
      <c r="H129" s="116"/>
      <c r="I129" s="116"/>
      <c r="J129" s="116"/>
      <c r="K129" s="116"/>
      <c r="L129" s="1058"/>
      <c r="M129" s="1058"/>
      <c r="N129" s="1058"/>
      <c r="O129" s="1058"/>
      <c r="P129" s="1058"/>
      <c r="Q129" s="1058"/>
      <c r="R129" s="1058"/>
      <c r="S129" s="1058"/>
      <c r="T129" s="116"/>
      <c r="U129" s="116"/>
      <c r="V129" s="116"/>
      <c r="W129" s="116"/>
      <c r="X129" s="1058"/>
      <c r="Y129" s="1058"/>
      <c r="Z129" s="1058"/>
      <c r="AA129" s="1058"/>
      <c r="AB129" s="1058"/>
      <c r="AC129" s="1058"/>
      <c r="AD129" s="1058"/>
      <c r="AE129" s="1058"/>
      <c r="AF129" s="116"/>
      <c r="AG129" s="116"/>
      <c r="AH129" s="116"/>
      <c r="AI129" s="116"/>
    </row>
    <row r="130" spans="1:35">
      <c r="A130" s="1102"/>
      <c r="B130" s="1038">
        <v>41687</v>
      </c>
      <c r="C130" s="116"/>
      <c r="D130" s="116"/>
      <c r="E130" s="116"/>
      <c r="F130" s="116"/>
      <c r="G130" s="116"/>
      <c r="H130" s="116"/>
      <c r="I130" s="116"/>
      <c r="J130" s="116"/>
      <c r="K130" s="116"/>
      <c r="L130" s="1058"/>
      <c r="M130" s="1058"/>
      <c r="N130" s="1058"/>
      <c r="O130" s="1058"/>
      <c r="P130" s="1058"/>
      <c r="Q130" s="1058"/>
      <c r="R130" s="1058"/>
      <c r="S130" s="1058"/>
      <c r="T130" s="116"/>
      <c r="U130" s="116"/>
      <c r="V130" s="116"/>
      <c r="W130" s="116"/>
      <c r="X130" s="1058"/>
      <c r="Y130" s="1058"/>
      <c r="Z130" s="1058"/>
      <c r="AA130" s="1058"/>
      <c r="AB130" s="1058"/>
      <c r="AC130" s="1058"/>
      <c r="AD130" s="1058"/>
      <c r="AE130" s="1058"/>
      <c r="AF130" s="116"/>
      <c r="AG130" s="116"/>
      <c r="AH130" s="116"/>
      <c r="AI130" s="116"/>
    </row>
    <row r="131" spans="1:35">
      <c r="A131" s="1102"/>
      <c r="B131" s="1038">
        <v>41688</v>
      </c>
      <c r="C131" s="116"/>
      <c r="D131" s="116"/>
      <c r="E131" s="116"/>
      <c r="F131" s="116"/>
      <c r="G131" s="116"/>
      <c r="H131" s="116"/>
      <c r="I131" s="116"/>
      <c r="J131" s="116"/>
      <c r="K131" s="116"/>
      <c r="L131" s="1058"/>
      <c r="M131" s="1058"/>
      <c r="N131" s="1058"/>
      <c r="O131" s="1058"/>
      <c r="P131" s="1058"/>
      <c r="Q131" s="1058"/>
      <c r="R131" s="1058"/>
      <c r="S131" s="1058"/>
      <c r="T131" s="116"/>
      <c r="U131" s="116"/>
      <c r="V131" s="116"/>
      <c r="W131" s="116"/>
      <c r="X131" s="1058"/>
      <c r="Y131" s="1058"/>
      <c r="Z131" s="1058"/>
      <c r="AA131" s="1058"/>
      <c r="AB131" s="1058"/>
      <c r="AC131" s="1058"/>
      <c r="AD131" s="1058"/>
      <c r="AE131" s="1058"/>
      <c r="AF131" s="116"/>
      <c r="AG131" s="116"/>
      <c r="AH131" s="116"/>
      <c r="AI131" s="116"/>
    </row>
    <row r="132" spans="1:35">
      <c r="A132" s="1102"/>
      <c r="B132" s="1038">
        <v>41689</v>
      </c>
      <c r="C132" s="116"/>
      <c r="D132" s="116"/>
      <c r="E132" s="116"/>
      <c r="F132" s="116"/>
      <c r="G132" s="116"/>
      <c r="H132" s="116"/>
      <c r="I132" s="116"/>
      <c r="J132" s="116"/>
      <c r="K132" s="116"/>
      <c r="L132" s="1058"/>
      <c r="M132" s="1058"/>
      <c r="N132" s="1058"/>
      <c r="O132" s="1058"/>
      <c r="P132" s="1058"/>
      <c r="Q132" s="1058"/>
      <c r="R132" s="1058"/>
      <c r="S132" s="1058"/>
      <c r="T132" s="116"/>
      <c r="U132" s="116"/>
      <c r="V132" s="116"/>
      <c r="W132" s="116"/>
      <c r="X132" s="1058"/>
      <c r="Y132" s="1058"/>
      <c r="Z132" s="1058"/>
      <c r="AA132" s="1058"/>
      <c r="AB132" s="1058"/>
      <c r="AC132" s="1058"/>
      <c r="AD132" s="1058"/>
      <c r="AE132" s="1058"/>
      <c r="AF132" s="116"/>
      <c r="AG132" s="116"/>
      <c r="AH132" s="116"/>
      <c r="AI132" s="116"/>
    </row>
    <row r="133" spans="1:35">
      <c r="A133" s="1102"/>
      <c r="B133" s="1038">
        <v>41690</v>
      </c>
      <c r="C133" s="116">
        <v>3.061101028433153</v>
      </c>
      <c r="D133" s="116">
        <v>72.068511198945941</v>
      </c>
      <c r="E133" s="116">
        <v>33100</v>
      </c>
      <c r="F133" s="116"/>
      <c r="G133" s="116">
        <v>36.200000000000003</v>
      </c>
      <c r="H133" s="116">
        <v>4612</v>
      </c>
      <c r="I133" s="116">
        <v>2291</v>
      </c>
      <c r="J133" s="116">
        <v>33.6</v>
      </c>
      <c r="K133" s="116">
        <v>170</v>
      </c>
      <c r="L133" s="1194">
        <v>1.7417128180431831</v>
      </c>
      <c r="M133" s="1194">
        <v>65.898617511520996</v>
      </c>
      <c r="N133" s="1058">
        <v>20600</v>
      </c>
      <c r="O133" s="1058">
        <v>29.5</v>
      </c>
      <c r="P133" s="1058">
        <v>1323</v>
      </c>
      <c r="Q133" s="1058">
        <v>409</v>
      </c>
      <c r="R133" s="1058">
        <v>59.2</v>
      </c>
      <c r="S133" s="1058">
        <v>147</v>
      </c>
      <c r="T133" s="116">
        <v>38.3522200629994</v>
      </c>
      <c r="U133" s="116">
        <v>34.421238421154719</v>
      </c>
      <c r="V133" s="116">
        <v>47.672922685705402</v>
      </c>
      <c r="W133" s="116">
        <v>44.336277302788346</v>
      </c>
      <c r="X133" s="1193">
        <v>1.7772192801364239</v>
      </c>
      <c r="Y133" s="1193">
        <v>63.636363636363505</v>
      </c>
      <c r="Z133" s="1058">
        <v>18500</v>
      </c>
      <c r="AA133" s="1058">
        <v>27.5</v>
      </c>
      <c r="AB133" s="1058">
        <v>1825</v>
      </c>
      <c r="AC133" s="1058">
        <v>407</v>
      </c>
      <c r="AD133" s="1058">
        <v>68.2</v>
      </c>
      <c r="AE133" s="1058">
        <v>115</v>
      </c>
      <c r="AF133" s="116">
        <v>37.095471798423382</v>
      </c>
      <c r="AG133" s="116">
        <v>38.501023127673442</v>
      </c>
      <c r="AH133" s="116">
        <v>48.439158398351346</v>
      </c>
      <c r="AI133" s="116">
        <v>49.591244130847656</v>
      </c>
    </row>
    <row r="134" spans="1:35">
      <c r="A134" s="1102"/>
      <c r="B134" s="1038">
        <v>41691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058"/>
      <c r="M134" s="1058"/>
      <c r="N134" s="1058"/>
      <c r="O134" s="1058"/>
      <c r="P134" s="1058"/>
      <c r="Q134" s="1058"/>
      <c r="R134" s="1058"/>
      <c r="S134" s="1058"/>
      <c r="T134" s="116"/>
      <c r="U134" s="116"/>
      <c r="V134" s="116"/>
      <c r="W134" s="116"/>
      <c r="X134" s="1058"/>
      <c r="Y134" s="1058"/>
      <c r="Z134" s="1058"/>
      <c r="AA134" s="1058"/>
      <c r="AB134" s="1058"/>
      <c r="AC134" s="1058"/>
      <c r="AD134" s="1058"/>
      <c r="AE134" s="1058"/>
      <c r="AF134" s="116"/>
      <c r="AG134" s="116"/>
      <c r="AH134" s="116"/>
      <c r="AI134" s="116"/>
    </row>
    <row r="135" spans="1:35">
      <c r="A135" s="1102"/>
      <c r="B135" s="1038">
        <v>41692</v>
      </c>
      <c r="C135" s="116">
        <v>3.0260108163790904</v>
      </c>
      <c r="D135" s="116">
        <v>73.085106382978722</v>
      </c>
      <c r="E135" s="116"/>
      <c r="F135" s="116"/>
      <c r="G135" s="116"/>
      <c r="H135" s="116"/>
      <c r="I135" s="116"/>
      <c r="J135" s="116"/>
      <c r="K135" s="116"/>
      <c r="L135" s="1194">
        <v>1.7545547857326145</v>
      </c>
      <c r="M135" s="1194">
        <v>65.447897623400081</v>
      </c>
      <c r="N135" s="1058"/>
      <c r="O135" s="1058"/>
      <c r="P135" s="1058"/>
      <c r="Q135" s="1058"/>
      <c r="R135" s="1058"/>
      <c r="S135" s="1058"/>
      <c r="T135" s="116">
        <v>39.703235096384894</v>
      </c>
      <c r="U135" s="116">
        <v>32.595263162091612</v>
      </c>
      <c r="V135" s="116">
        <v>48.555809872961362</v>
      </c>
      <c r="W135" s="116">
        <v>42.491407243899005</v>
      </c>
      <c r="X135" s="1193">
        <v>1.7245501823181248</v>
      </c>
      <c r="Y135" s="1193">
        <v>64.991334488735049</v>
      </c>
      <c r="Z135" s="1058"/>
      <c r="AA135" s="1058"/>
      <c r="AB135" s="1058"/>
      <c r="AC135" s="1058"/>
      <c r="AD135" s="1058"/>
      <c r="AE135" s="1058"/>
      <c r="AF135" s="116">
        <v>40.734368767913004</v>
      </c>
      <c r="AG135" s="116">
        <v>33.474317461721647</v>
      </c>
      <c r="AH135" s="116">
        <v>49.788292336225794</v>
      </c>
      <c r="AI135" s="116">
        <v>43.637348420975336</v>
      </c>
    </row>
    <row r="136" spans="1:35">
      <c r="A136" s="1102"/>
      <c r="B136" s="1038">
        <v>41693</v>
      </c>
      <c r="C136" s="116"/>
      <c r="D136" s="116"/>
      <c r="E136" s="116"/>
      <c r="F136" s="116"/>
      <c r="G136" s="116"/>
      <c r="H136" s="116"/>
      <c r="I136" s="116"/>
      <c r="J136" s="116"/>
      <c r="K136" s="116"/>
      <c r="L136" s="1058"/>
      <c r="M136" s="1058"/>
      <c r="N136" s="1058"/>
      <c r="O136" s="1058"/>
      <c r="P136" s="1058"/>
      <c r="Q136" s="1058"/>
      <c r="R136" s="1058"/>
      <c r="S136" s="1058"/>
      <c r="T136" s="116"/>
      <c r="U136" s="116"/>
      <c r="V136" s="116"/>
      <c r="W136" s="116"/>
      <c r="X136" s="1058"/>
      <c r="Y136" s="1058"/>
      <c r="Z136" s="1058"/>
      <c r="AA136" s="1058"/>
      <c r="AB136" s="1058"/>
      <c r="AC136" s="1058"/>
      <c r="AD136" s="1058"/>
      <c r="AE136" s="1058"/>
      <c r="AF136" s="116"/>
      <c r="AG136" s="116"/>
      <c r="AH136" s="116"/>
      <c r="AI136" s="116"/>
    </row>
    <row r="137" spans="1:35">
      <c r="A137" s="1102"/>
      <c r="B137" s="1038">
        <v>41694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058"/>
      <c r="M137" s="1058"/>
      <c r="N137" s="1058"/>
      <c r="O137" s="1058"/>
      <c r="P137" s="1058"/>
      <c r="Q137" s="1058"/>
      <c r="R137" s="1058"/>
      <c r="S137" s="1058"/>
      <c r="T137" s="116"/>
      <c r="U137" s="116"/>
      <c r="V137" s="116"/>
      <c r="W137" s="116"/>
      <c r="X137" s="1058"/>
      <c r="Y137" s="1058"/>
      <c r="Z137" s="1058"/>
      <c r="AA137" s="1058"/>
      <c r="AB137" s="1058"/>
      <c r="AC137" s="1058"/>
      <c r="AD137" s="1058"/>
      <c r="AE137" s="1058"/>
      <c r="AF137" s="116"/>
      <c r="AG137" s="116"/>
      <c r="AH137" s="116"/>
      <c r="AI137" s="116"/>
    </row>
    <row r="138" spans="1:35">
      <c r="A138" s="1102"/>
      <c r="B138" s="1038">
        <v>41695</v>
      </c>
      <c r="C138" s="116"/>
      <c r="D138" s="116"/>
      <c r="E138" s="116"/>
      <c r="F138" s="116"/>
      <c r="G138" s="116"/>
      <c r="H138" s="116"/>
      <c r="I138" s="116"/>
      <c r="J138" s="116"/>
      <c r="K138" s="116"/>
      <c r="L138" s="1058"/>
      <c r="M138" s="1058"/>
      <c r="N138" s="1058"/>
      <c r="O138" s="1058"/>
      <c r="P138" s="1058"/>
      <c r="Q138" s="1058"/>
      <c r="R138" s="1058"/>
      <c r="S138" s="1058"/>
      <c r="T138" s="116"/>
      <c r="U138" s="116"/>
      <c r="V138" s="116"/>
      <c r="W138" s="116"/>
      <c r="X138" s="1058"/>
      <c r="Y138" s="1058"/>
      <c r="Z138" s="1058"/>
      <c r="AA138" s="1058"/>
      <c r="AB138" s="1058"/>
      <c r="AC138" s="1058"/>
      <c r="AD138" s="1058"/>
      <c r="AE138" s="1058"/>
      <c r="AF138" s="116"/>
      <c r="AG138" s="116"/>
      <c r="AH138" s="116"/>
      <c r="AI138" s="116"/>
    </row>
    <row r="139" spans="1:35">
      <c r="A139" s="1102"/>
      <c r="B139" s="1038">
        <v>41696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058"/>
      <c r="M139" s="1058"/>
      <c r="N139" s="1058"/>
      <c r="O139" s="1058"/>
      <c r="P139" s="1058"/>
      <c r="Q139" s="1058"/>
      <c r="R139" s="1058"/>
      <c r="S139" s="1058"/>
      <c r="T139" s="116"/>
      <c r="U139" s="116"/>
      <c r="V139" s="116"/>
      <c r="W139" s="116"/>
      <c r="X139" s="1058"/>
      <c r="Y139" s="1058"/>
      <c r="Z139" s="1058"/>
      <c r="AA139" s="1058"/>
      <c r="AB139" s="1058"/>
      <c r="AC139" s="1058"/>
      <c r="AD139" s="1058"/>
      <c r="AE139" s="1058"/>
      <c r="AF139" s="116"/>
      <c r="AG139" s="116"/>
      <c r="AH139" s="116"/>
      <c r="AI139" s="116"/>
    </row>
    <row r="140" spans="1:35">
      <c r="A140" s="1102"/>
      <c r="B140" s="1038">
        <v>41697</v>
      </c>
      <c r="C140" s="116">
        <v>2.9</v>
      </c>
      <c r="D140" s="116">
        <v>75.599999999999994</v>
      </c>
      <c r="E140" s="116">
        <v>38700</v>
      </c>
      <c r="F140" s="116"/>
      <c r="G140" s="116"/>
      <c r="H140" s="116">
        <v>5820</v>
      </c>
      <c r="I140" s="116"/>
      <c r="J140" s="116"/>
      <c r="K140" s="116"/>
      <c r="L140" s="1058">
        <v>1.8</v>
      </c>
      <c r="M140" s="1058">
        <v>63.4</v>
      </c>
      <c r="N140" s="1058">
        <v>20000</v>
      </c>
      <c r="O140" s="1058"/>
      <c r="P140" s="1058">
        <v>1295</v>
      </c>
      <c r="Q140" s="1058"/>
      <c r="R140" s="1058"/>
      <c r="S140" s="1058"/>
      <c r="T140" s="116">
        <v>39.145306858223002</v>
      </c>
      <c r="U140" s="116">
        <v>33.271164811716268</v>
      </c>
      <c r="V140" s="116">
        <v>48.950408582005714</v>
      </c>
      <c r="W140" s="116">
        <v>44.022726986326688</v>
      </c>
      <c r="X140" s="1058">
        <v>1.8</v>
      </c>
      <c r="Y140" s="1058">
        <v>62.2</v>
      </c>
      <c r="Z140" s="1058">
        <v>18000</v>
      </c>
      <c r="AA140" s="1058"/>
      <c r="AB140" s="1058">
        <v>2338</v>
      </c>
      <c r="AC140" s="1058"/>
      <c r="AD140" s="1058"/>
      <c r="AE140" s="1058"/>
      <c r="AF140" s="116">
        <v>39.145306858223002</v>
      </c>
      <c r="AG140" s="116">
        <v>35.389540531979236</v>
      </c>
      <c r="AH140" s="116">
        <v>49.916646905374684</v>
      </c>
      <c r="AI140" s="116">
        <v>46.825654882459737</v>
      </c>
    </row>
    <row r="141" spans="1:35">
      <c r="A141" s="1102"/>
      <c r="B141" s="1038">
        <v>41698</v>
      </c>
      <c r="C141" s="116"/>
      <c r="D141" s="116"/>
      <c r="E141" s="116"/>
      <c r="F141" s="116"/>
      <c r="G141" s="116"/>
      <c r="H141" s="116"/>
      <c r="I141" s="116"/>
      <c r="J141" s="116"/>
      <c r="K141" s="116"/>
      <c r="L141" s="1058"/>
      <c r="M141" s="1058"/>
      <c r="N141" s="1058"/>
      <c r="O141" s="1058"/>
      <c r="P141" s="1058"/>
      <c r="Q141" s="1058"/>
      <c r="R141" s="1058"/>
      <c r="S141" s="1058"/>
      <c r="T141" s="116"/>
      <c r="U141" s="116"/>
      <c r="V141" s="116"/>
      <c r="W141" s="116"/>
      <c r="X141" s="1058"/>
      <c r="Y141" s="1058"/>
      <c r="Z141" s="1058"/>
      <c r="AA141" s="1058"/>
      <c r="AB141" s="1058"/>
      <c r="AC141" s="1058"/>
      <c r="AD141" s="1058"/>
      <c r="AE141" s="1058"/>
      <c r="AF141" s="116"/>
      <c r="AG141" s="116"/>
      <c r="AH141" s="116"/>
      <c r="AI141" s="116"/>
    </row>
    <row r="142" spans="1:35">
      <c r="A142" s="1102"/>
      <c r="B142" s="1038">
        <v>41699</v>
      </c>
      <c r="C142" s="116"/>
      <c r="D142" s="116"/>
      <c r="E142" s="116"/>
      <c r="F142" s="116"/>
      <c r="G142" s="116"/>
      <c r="H142" s="116"/>
      <c r="I142" s="116"/>
      <c r="J142" s="116"/>
      <c r="K142" s="116"/>
      <c r="L142" s="1058"/>
      <c r="M142" s="1058"/>
      <c r="N142" s="1058"/>
      <c r="O142" s="1058"/>
      <c r="P142" s="1058"/>
      <c r="Q142" s="1058"/>
      <c r="R142" s="1058"/>
      <c r="S142" s="1058"/>
      <c r="T142" s="116"/>
      <c r="U142" s="116"/>
      <c r="V142" s="116"/>
      <c r="W142" s="116"/>
      <c r="X142" s="1058"/>
      <c r="Y142" s="1058"/>
      <c r="Z142" s="1058"/>
      <c r="AA142" s="1058"/>
      <c r="AB142" s="1058"/>
      <c r="AC142" s="1058"/>
      <c r="AD142" s="1058"/>
      <c r="AE142" s="1058"/>
      <c r="AF142" s="116"/>
      <c r="AG142" s="116"/>
      <c r="AH142" s="116"/>
      <c r="AI142" s="116"/>
    </row>
    <row r="143" spans="1:35">
      <c r="A143" s="1102"/>
      <c r="B143" s="1038">
        <v>41700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058"/>
      <c r="M143" s="1058"/>
      <c r="N143" s="1058"/>
      <c r="O143" s="1058"/>
      <c r="P143" s="1058"/>
      <c r="Q143" s="1058"/>
      <c r="R143" s="1058"/>
      <c r="S143" s="1058"/>
      <c r="T143" s="116"/>
      <c r="U143" s="116"/>
      <c r="V143" s="116"/>
      <c r="W143" s="116"/>
      <c r="X143" s="1058"/>
      <c r="Y143" s="1058"/>
      <c r="Z143" s="1058"/>
      <c r="AA143" s="1058"/>
      <c r="AB143" s="1058"/>
      <c r="AC143" s="1058"/>
      <c r="AD143" s="1058"/>
      <c r="AE143" s="1058"/>
      <c r="AF143" s="116"/>
      <c r="AG143" s="116"/>
      <c r="AH143" s="116"/>
      <c r="AI143" s="116"/>
    </row>
    <row r="144" spans="1:35">
      <c r="A144" s="1102"/>
      <c r="B144" s="1038">
        <v>41701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058"/>
      <c r="M144" s="1058"/>
      <c r="N144" s="1058"/>
      <c r="O144" s="1058"/>
      <c r="P144" s="1058"/>
      <c r="Q144" s="1058"/>
      <c r="R144" s="1058"/>
      <c r="S144" s="1058"/>
      <c r="T144" s="116"/>
      <c r="U144" s="116"/>
      <c r="V144" s="116"/>
      <c r="W144" s="116"/>
      <c r="X144" s="1058"/>
      <c r="Y144" s="1058"/>
      <c r="Z144" s="1058"/>
      <c r="AA144" s="1058"/>
      <c r="AB144" s="1058"/>
      <c r="AC144" s="1058"/>
      <c r="AD144" s="1058"/>
      <c r="AE144" s="1058"/>
      <c r="AF144" s="116"/>
      <c r="AG144" s="116"/>
      <c r="AH144" s="116"/>
      <c r="AI144" s="116"/>
    </row>
    <row r="145" spans="1:35">
      <c r="A145" s="1102"/>
      <c r="B145" s="1038">
        <v>41702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058"/>
      <c r="M145" s="1058"/>
      <c r="N145" s="1058"/>
      <c r="O145" s="1058"/>
      <c r="P145" s="1058"/>
      <c r="Q145" s="1058"/>
      <c r="R145" s="1058"/>
      <c r="S145" s="1058"/>
      <c r="T145" s="116"/>
      <c r="U145" s="116"/>
      <c r="V145" s="116"/>
      <c r="W145" s="116"/>
      <c r="X145" s="1058"/>
      <c r="Y145" s="1058"/>
      <c r="Z145" s="1058"/>
      <c r="AA145" s="1058"/>
      <c r="AB145" s="1058"/>
      <c r="AC145" s="1058"/>
      <c r="AD145" s="1058"/>
      <c r="AE145" s="1058"/>
      <c r="AF145" s="116"/>
      <c r="AG145" s="116"/>
      <c r="AH145" s="116"/>
      <c r="AI145" s="116"/>
    </row>
    <row r="146" spans="1:35">
      <c r="A146" s="1102"/>
      <c r="B146" s="1038">
        <v>41703</v>
      </c>
      <c r="C146" s="116"/>
      <c r="D146" s="116"/>
      <c r="E146" s="116"/>
      <c r="F146" s="116"/>
      <c r="G146" s="116"/>
      <c r="H146" s="116"/>
      <c r="I146" s="116"/>
      <c r="J146" s="116"/>
      <c r="K146" s="116"/>
      <c r="L146" s="1058"/>
      <c r="M146" s="1058"/>
      <c r="N146" s="1058"/>
      <c r="O146" s="1058"/>
      <c r="P146" s="1058"/>
      <c r="Q146" s="1058"/>
      <c r="R146" s="1058"/>
      <c r="S146" s="1058"/>
      <c r="T146" s="116"/>
      <c r="U146" s="116"/>
      <c r="V146" s="116"/>
      <c r="W146" s="116"/>
      <c r="X146" s="1058"/>
      <c r="Y146" s="1058"/>
      <c r="Z146" s="1058"/>
      <c r="AA146" s="1058"/>
      <c r="AB146" s="1058"/>
      <c r="AC146" s="1058"/>
      <c r="AD146" s="1058"/>
      <c r="AE146" s="1058"/>
      <c r="AF146" s="116"/>
      <c r="AG146" s="116"/>
      <c r="AH146" s="116"/>
      <c r="AI146" s="116"/>
    </row>
    <row r="147" spans="1:35">
      <c r="A147" s="1102"/>
      <c r="B147" s="1038">
        <v>41704</v>
      </c>
      <c r="C147" s="116">
        <v>2.4</v>
      </c>
      <c r="D147" s="116">
        <v>76</v>
      </c>
      <c r="E147" s="116">
        <v>32100</v>
      </c>
      <c r="F147" s="116"/>
      <c r="G147" s="116">
        <v>34.299999999999997</v>
      </c>
      <c r="H147" s="116">
        <v>3743</v>
      </c>
      <c r="I147" s="116">
        <v>1960</v>
      </c>
      <c r="J147" s="116">
        <v>31</v>
      </c>
      <c r="K147" s="116">
        <v>252</v>
      </c>
      <c r="L147" s="1058">
        <v>1.8</v>
      </c>
      <c r="M147" s="1058">
        <v>64.5</v>
      </c>
      <c r="N147" s="1058">
        <v>18200</v>
      </c>
      <c r="O147" s="1058">
        <v>26.4</v>
      </c>
      <c r="P147" s="1058">
        <v>1322</v>
      </c>
      <c r="Q147" s="1058">
        <v>345</v>
      </c>
      <c r="R147" s="1058">
        <v>66</v>
      </c>
      <c r="S147" s="1058">
        <v>191</v>
      </c>
      <c r="T147" s="116">
        <v>37.417385398660791</v>
      </c>
      <c r="U147" s="116">
        <v>31.495887176888125</v>
      </c>
      <c r="V147" s="116">
        <v>46.663277294143846</v>
      </c>
      <c r="W147" s="116">
        <v>41.616615203245047</v>
      </c>
      <c r="X147" s="1058">
        <v>1.8</v>
      </c>
      <c r="Y147" s="1058">
        <v>64.099999999999994</v>
      </c>
      <c r="Z147" s="1058">
        <v>17800</v>
      </c>
      <c r="AA147" s="1058">
        <v>29.5</v>
      </c>
      <c r="AB147" s="1058">
        <v>2379</v>
      </c>
      <c r="AC147" s="1058">
        <v>659</v>
      </c>
      <c r="AD147" s="1058">
        <v>66</v>
      </c>
      <c r="AE147" s="1058">
        <v>150</v>
      </c>
      <c r="AF147" s="116">
        <v>37.417385398660791</v>
      </c>
      <c r="AG147" s="116">
        <v>32.259164199986877</v>
      </c>
      <c r="AH147" s="116">
        <v>46.994047667513506</v>
      </c>
      <c r="AI147" s="116">
        <v>42.625159778775789</v>
      </c>
    </row>
    <row r="148" spans="1:35">
      <c r="A148" s="1102"/>
      <c r="B148" s="1038">
        <v>41705</v>
      </c>
      <c r="C148" s="116">
        <v>2.5455435504737931</v>
      </c>
      <c r="D148" s="116">
        <v>73.351648351648379</v>
      </c>
      <c r="E148" s="116"/>
      <c r="F148" s="116">
        <v>6.61</v>
      </c>
      <c r="G148" s="116"/>
      <c r="H148" s="116"/>
      <c r="I148" s="116"/>
      <c r="J148" s="116"/>
      <c r="K148" s="116"/>
      <c r="L148" s="1194">
        <v>1.7813078346699585</v>
      </c>
      <c r="M148" s="1194">
        <v>64.935064935064872</v>
      </c>
      <c r="N148" s="1058"/>
      <c r="O148" s="1058"/>
      <c r="P148" s="1058"/>
      <c r="Q148" s="1058"/>
      <c r="R148" s="1058"/>
      <c r="S148" s="1058"/>
      <c r="T148" s="116">
        <v>36.849906721749633</v>
      </c>
      <c r="U148" s="116">
        <v>29.576954381034547</v>
      </c>
      <c r="V148" s="116">
        <v>45.546911844819661</v>
      </c>
      <c r="W148" s="116">
        <v>39.275587537943572</v>
      </c>
      <c r="X148" s="1194">
        <v>1.8382789905312844</v>
      </c>
      <c r="Y148" s="1194">
        <v>64.008620689654947</v>
      </c>
      <c r="Z148" s="1058"/>
      <c r="AA148" s="1058"/>
      <c r="AB148" s="1058"/>
      <c r="AC148" s="1058"/>
      <c r="AD148" s="1058"/>
      <c r="AE148" s="1058"/>
      <c r="AF148" s="116">
        <v>34.830191916262876</v>
      </c>
      <c r="AG148" s="116">
        <v>31.389694726308793</v>
      </c>
      <c r="AH148" s="116">
        <v>44.607093956308006</v>
      </c>
      <c r="AI148" s="116">
        <v>41.68274688224826</v>
      </c>
    </row>
    <row r="149" spans="1:35">
      <c r="A149" s="1102"/>
      <c r="B149" s="1038">
        <v>41706</v>
      </c>
      <c r="C149" s="116"/>
      <c r="D149" s="116"/>
      <c r="E149" s="116"/>
      <c r="F149" s="116"/>
      <c r="G149" s="116"/>
      <c r="H149" s="116"/>
      <c r="I149" s="116"/>
      <c r="J149" s="116"/>
      <c r="K149" s="116"/>
      <c r="L149" s="1058"/>
      <c r="M149" s="1058"/>
      <c r="N149" s="1058"/>
      <c r="O149" s="1058"/>
      <c r="P149" s="1058"/>
      <c r="Q149" s="1058"/>
      <c r="R149" s="1058"/>
      <c r="S149" s="1058"/>
      <c r="T149" s="116"/>
      <c r="U149" s="116"/>
      <c r="V149" s="116"/>
      <c r="W149" s="116"/>
      <c r="X149" s="1058"/>
      <c r="Y149" s="1058"/>
      <c r="Z149" s="1058"/>
      <c r="AA149" s="1058"/>
      <c r="AB149" s="1058"/>
      <c r="AC149" s="1058"/>
      <c r="AD149" s="1058"/>
      <c r="AE149" s="1058"/>
      <c r="AF149" s="116"/>
      <c r="AG149" s="116"/>
      <c r="AH149" s="116"/>
      <c r="AI149" s="116"/>
    </row>
    <row r="150" spans="1:35">
      <c r="A150" s="1102"/>
      <c r="B150" s="1038">
        <v>41707</v>
      </c>
      <c r="C150" s="116"/>
      <c r="D150" s="116"/>
      <c r="E150" s="116"/>
      <c r="F150" s="116"/>
      <c r="G150" s="116"/>
      <c r="H150" s="116"/>
      <c r="I150" s="116"/>
      <c r="J150" s="116"/>
      <c r="K150" s="116"/>
      <c r="L150" s="1058"/>
      <c r="M150" s="1058"/>
      <c r="N150" s="1058"/>
      <c r="O150" s="1058"/>
      <c r="P150" s="1058"/>
      <c r="Q150" s="1058"/>
      <c r="R150" s="1058"/>
      <c r="S150" s="1058"/>
      <c r="T150" s="116"/>
      <c r="U150" s="116"/>
      <c r="V150" s="116"/>
      <c r="W150" s="116"/>
      <c r="X150" s="1058"/>
      <c r="Y150" s="1058"/>
      <c r="Z150" s="1058"/>
      <c r="AA150" s="1058"/>
      <c r="AB150" s="1058"/>
      <c r="AC150" s="1058"/>
      <c r="AD150" s="1058"/>
      <c r="AE150" s="1058"/>
      <c r="AF150" s="116"/>
      <c r="AG150" s="116"/>
      <c r="AH150" s="116"/>
      <c r="AI150" s="116"/>
    </row>
    <row r="151" spans="1:35">
      <c r="A151" s="1102"/>
      <c r="B151" s="1038">
        <v>41708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058"/>
      <c r="M151" s="1058"/>
      <c r="N151" s="1058"/>
      <c r="O151" s="1058"/>
      <c r="P151" s="1058"/>
      <c r="Q151" s="1058"/>
      <c r="R151" s="1058"/>
      <c r="S151" s="1058"/>
      <c r="T151" s="116"/>
      <c r="U151" s="116"/>
      <c r="V151" s="116"/>
      <c r="W151" s="116"/>
      <c r="X151" s="1058"/>
      <c r="Y151" s="1058"/>
      <c r="Z151" s="1058"/>
      <c r="AA151" s="1058"/>
      <c r="AB151" s="1058"/>
      <c r="AC151" s="1058"/>
      <c r="AD151" s="1058"/>
      <c r="AE151" s="1058"/>
      <c r="AF151" s="116"/>
      <c r="AG151" s="116"/>
      <c r="AH151" s="116"/>
      <c r="AI151" s="116"/>
    </row>
    <row r="152" spans="1:35">
      <c r="A152" s="1102"/>
      <c r="B152" s="1038">
        <v>41709</v>
      </c>
      <c r="C152" s="116"/>
      <c r="D152" s="116"/>
      <c r="E152" s="116"/>
      <c r="F152" s="116"/>
      <c r="G152" s="116"/>
      <c r="H152" s="116"/>
      <c r="I152" s="116"/>
      <c r="J152" s="116"/>
      <c r="K152" s="116"/>
      <c r="L152" s="1058"/>
      <c r="M152" s="1058"/>
      <c r="N152" s="1058"/>
      <c r="O152" s="1058"/>
      <c r="P152" s="1058"/>
      <c r="Q152" s="1058"/>
      <c r="R152" s="1058"/>
      <c r="S152" s="1058"/>
      <c r="T152" s="116"/>
      <c r="U152" s="116"/>
      <c r="V152" s="116"/>
      <c r="W152" s="116"/>
      <c r="X152" s="1058"/>
      <c r="Y152" s="1058"/>
      <c r="Z152" s="1058"/>
      <c r="AA152" s="1058"/>
      <c r="AB152" s="1058"/>
      <c r="AC152" s="1058"/>
      <c r="AD152" s="1058"/>
      <c r="AE152" s="1058"/>
      <c r="AF152" s="116"/>
      <c r="AG152" s="116"/>
      <c r="AH152" s="116"/>
      <c r="AI152" s="116"/>
    </row>
    <row r="153" spans="1:35">
      <c r="A153" s="1102"/>
      <c r="B153" s="1038">
        <v>41710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058"/>
      <c r="M153" s="1058"/>
      <c r="N153" s="1058"/>
      <c r="O153" s="1058"/>
      <c r="P153" s="1058"/>
      <c r="Q153" s="1058"/>
      <c r="R153" s="1058"/>
      <c r="S153" s="1058"/>
      <c r="T153" s="116"/>
      <c r="U153" s="116"/>
      <c r="V153" s="116"/>
      <c r="W153" s="116"/>
      <c r="X153" s="1058"/>
      <c r="Y153" s="1058"/>
      <c r="Z153" s="1058"/>
      <c r="AA153" s="1058"/>
      <c r="AB153" s="1058"/>
      <c r="AC153" s="1058"/>
      <c r="AD153" s="1058"/>
      <c r="AE153" s="1058"/>
      <c r="AF153" s="116"/>
      <c r="AG153" s="116"/>
      <c r="AH153" s="116"/>
      <c r="AI153" s="116"/>
    </row>
    <row r="154" spans="1:35">
      <c r="A154" s="1102"/>
      <c r="B154" s="1038">
        <v>41711</v>
      </c>
      <c r="C154" s="116">
        <v>3.2</v>
      </c>
      <c r="D154" s="116">
        <v>77.8</v>
      </c>
      <c r="E154" s="116">
        <v>42200</v>
      </c>
      <c r="F154" s="116">
        <v>6.05</v>
      </c>
      <c r="G154" s="116"/>
      <c r="H154" s="116">
        <v>6100</v>
      </c>
      <c r="I154" s="116"/>
      <c r="J154" s="116"/>
      <c r="K154" s="116"/>
      <c r="L154" s="1058">
        <v>1.8</v>
      </c>
      <c r="M154" s="1058">
        <v>64.3</v>
      </c>
      <c r="N154" s="1058">
        <v>21200</v>
      </c>
      <c r="O154" s="1058"/>
      <c r="P154" s="1058">
        <v>1404</v>
      </c>
      <c r="Q154" s="1058"/>
      <c r="R154" s="1058"/>
      <c r="S154" s="1058"/>
      <c r="T154" s="116">
        <v>37.862305076441856</v>
      </c>
      <c r="U154" s="116">
        <v>30.485082576834234</v>
      </c>
      <c r="V154" s="116">
        <v>46.857075253567849</v>
      </c>
      <c r="W154" s="116">
        <v>40.547745938783464</v>
      </c>
      <c r="X154" s="1058">
        <v>1.8</v>
      </c>
      <c r="Y154" s="1058">
        <v>63.6</v>
      </c>
      <c r="Z154" s="1058">
        <v>18300</v>
      </c>
      <c r="AA154" s="1058"/>
      <c r="AB154" s="1058">
        <v>2501</v>
      </c>
      <c r="AC154" s="1058"/>
      <c r="AD154" s="1058"/>
      <c r="AE154" s="1058"/>
      <c r="AF154" s="116">
        <v>37.862305076441856</v>
      </c>
      <c r="AG154" s="116">
        <v>31.821907911895096</v>
      </c>
      <c r="AH154" s="116">
        <v>47.435614092175967</v>
      </c>
      <c r="AI154" s="116">
        <v>42.325837040028119</v>
      </c>
    </row>
    <row r="155" spans="1:35">
      <c r="A155" s="1102"/>
      <c r="B155" s="1038">
        <v>41712</v>
      </c>
      <c r="C155" s="116"/>
      <c r="D155" s="116"/>
      <c r="E155" s="116"/>
      <c r="F155" s="116"/>
      <c r="G155" s="116"/>
      <c r="H155" s="116"/>
      <c r="I155" s="116"/>
      <c r="J155" s="116"/>
      <c r="K155" s="116"/>
      <c r="L155" s="1058"/>
      <c r="M155" s="1058"/>
      <c r="N155" s="1058"/>
      <c r="O155" s="1058"/>
      <c r="P155" s="1058"/>
      <c r="Q155" s="1058"/>
      <c r="R155" s="1058"/>
      <c r="S155" s="1058"/>
      <c r="T155" s="116"/>
      <c r="U155" s="116"/>
      <c r="V155" s="116"/>
      <c r="W155" s="116"/>
      <c r="X155" s="1058"/>
      <c r="Y155" s="1058"/>
      <c r="Z155" s="1058"/>
      <c r="AA155" s="1058"/>
      <c r="AB155" s="1058"/>
      <c r="AC155" s="1058"/>
      <c r="AD155" s="1058"/>
      <c r="AE155" s="1058"/>
      <c r="AF155" s="116"/>
      <c r="AG155" s="116"/>
      <c r="AH155" s="116"/>
      <c r="AI155" s="116"/>
    </row>
    <row r="156" spans="1:35">
      <c r="A156" s="1102"/>
      <c r="B156" s="1038">
        <v>41713</v>
      </c>
      <c r="C156" s="116"/>
      <c r="D156" s="116"/>
      <c r="E156" s="116"/>
      <c r="F156" s="116"/>
      <c r="G156" s="116"/>
      <c r="H156" s="116"/>
      <c r="I156" s="116"/>
      <c r="J156" s="116"/>
      <c r="K156" s="116"/>
      <c r="L156" s="1058"/>
      <c r="M156" s="1058"/>
      <c r="N156" s="1058"/>
      <c r="O156" s="1058"/>
      <c r="P156" s="1058"/>
      <c r="Q156" s="1058"/>
      <c r="R156" s="1058"/>
      <c r="S156" s="1058"/>
      <c r="T156" s="116"/>
      <c r="U156" s="116"/>
      <c r="V156" s="116"/>
      <c r="W156" s="116"/>
      <c r="X156" s="1058"/>
      <c r="Y156" s="1058"/>
      <c r="Z156" s="1058"/>
      <c r="AA156" s="1058"/>
      <c r="AB156" s="1058"/>
      <c r="AC156" s="1058"/>
      <c r="AD156" s="1058"/>
      <c r="AE156" s="1058"/>
      <c r="AF156" s="116"/>
      <c r="AG156" s="116"/>
      <c r="AH156" s="116"/>
      <c r="AI156" s="116"/>
    </row>
    <row r="157" spans="1:35">
      <c r="A157" s="1102"/>
      <c r="B157" s="1038">
        <v>41714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058"/>
      <c r="M157" s="1058"/>
      <c r="N157" s="1058"/>
      <c r="O157" s="1058"/>
      <c r="P157" s="1058"/>
      <c r="Q157" s="1058"/>
      <c r="R157" s="1058"/>
      <c r="S157" s="1058"/>
      <c r="T157" s="116"/>
      <c r="U157" s="116"/>
      <c r="V157" s="116"/>
      <c r="W157" s="116"/>
      <c r="X157" s="1058"/>
      <c r="Y157" s="1058"/>
      <c r="Z157" s="1058"/>
      <c r="AA157" s="1058"/>
      <c r="AB157" s="1058"/>
      <c r="AC157" s="1058"/>
      <c r="AD157" s="1058"/>
      <c r="AE157" s="1058"/>
      <c r="AF157" s="116"/>
      <c r="AG157" s="116"/>
      <c r="AH157" s="116"/>
      <c r="AI157" s="116"/>
    </row>
    <row r="158" spans="1:35">
      <c r="A158" s="1102"/>
      <c r="B158" s="1038">
        <v>41715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058"/>
      <c r="M158" s="1058"/>
      <c r="N158" s="1058"/>
      <c r="O158" s="1058"/>
      <c r="P158" s="1058"/>
      <c r="Q158" s="1058"/>
      <c r="R158" s="1058"/>
      <c r="S158" s="1058"/>
      <c r="T158" s="116"/>
      <c r="U158" s="116"/>
      <c r="V158" s="116"/>
      <c r="W158" s="116"/>
      <c r="X158" s="1058"/>
      <c r="Y158" s="1058"/>
      <c r="Z158" s="1058"/>
      <c r="AA158" s="1058"/>
      <c r="AB158" s="1058"/>
      <c r="AC158" s="1058"/>
      <c r="AD158" s="1058"/>
      <c r="AE158" s="1058"/>
      <c r="AF158" s="116"/>
      <c r="AG158" s="116"/>
      <c r="AH158" s="116"/>
      <c r="AI158" s="116"/>
    </row>
    <row r="159" spans="1:35">
      <c r="A159" s="1102"/>
      <c r="B159" s="1038">
        <v>41716</v>
      </c>
      <c r="C159" s="116"/>
      <c r="D159" s="116"/>
      <c r="E159" s="116"/>
      <c r="F159" s="116"/>
      <c r="G159" s="116"/>
      <c r="H159" s="116"/>
      <c r="I159" s="116"/>
      <c r="J159" s="116"/>
      <c r="K159" s="116"/>
      <c r="L159" s="1058"/>
      <c r="M159" s="1058"/>
      <c r="N159" s="1058"/>
      <c r="O159" s="1058"/>
      <c r="P159" s="1058"/>
      <c r="Q159" s="1058"/>
      <c r="R159" s="1058"/>
      <c r="S159" s="1058"/>
      <c r="T159" s="116"/>
      <c r="U159" s="116"/>
      <c r="V159" s="116"/>
      <c r="W159" s="116"/>
      <c r="X159" s="1058"/>
      <c r="Y159" s="1058"/>
      <c r="Z159" s="1058"/>
      <c r="AA159" s="1058"/>
      <c r="AB159" s="1058"/>
      <c r="AC159" s="1058"/>
      <c r="AD159" s="1058"/>
      <c r="AE159" s="1058"/>
      <c r="AF159" s="116"/>
      <c r="AG159" s="116"/>
      <c r="AH159" s="116"/>
      <c r="AI159" s="116"/>
    </row>
    <row r="160" spans="1:35">
      <c r="A160" s="1102"/>
      <c r="B160" s="1038">
        <v>41717</v>
      </c>
      <c r="C160" s="116"/>
      <c r="D160" s="116"/>
      <c r="E160" s="116"/>
      <c r="F160" s="116"/>
      <c r="G160" s="116"/>
      <c r="H160" s="116"/>
      <c r="I160" s="116"/>
      <c r="J160" s="116"/>
      <c r="K160" s="116"/>
      <c r="L160" s="1058"/>
      <c r="M160" s="1058"/>
      <c r="N160" s="1058"/>
      <c r="O160" s="1058"/>
      <c r="P160" s="1058"/>
      <c r="Q160" s="1058"/>
      <c r="R160" s="1058"/>
      <c r="S160" s="1058"/>
      <c r="T160" s="116"/>
      <c r="U160" s="116"/>
      <c r="V160" s="116"/>
      <c r="W160" s="116"/>
      <c r="X160" s="1058"/>
      <c r="Y160" s="1058"/>
      <c r="Z160" s="1058"/>
      <c r="AA160" s="1058"/>
      <c r="AB160" s="1058"/>
      <c r="AC160" s="1058"/>
      <c r="AD160" s="1058"/>
      <c r="AE160" s="1058"/>
      <c r="AF160" s="116"/>
      <c r="AG160" s="116"/>
      <c r="AH160" s="116"/>
      <c r="AI160" s="116"/>
    </row>
    <row r="161" spans="1:35">
      <c r="A161" s="1102"/>
      <c r="B161" s="1038">
        <v>41718</v>
      </c>
      <c r="C161" s="116">
        <v>3.4</v>
      </c>
      <c r="D161" s="116">
        <v>78.900000000000006</v>
      </c>
      <c r="E161" s="116">
        <v>42100</v>
      </c>
      <c r="F161" s="116"/>
      <c r="G161" s="116">
        <v>43.8</v>
      </c>
      <c r="H161" s="116">
        <v>3602</v>
      </c>
      <c r="I161" s="116">
        <v>1475</v>
      </c>
      <c r="J161" s="116">
        <v>19.8</v>
      </c>
      <c r="K161" s="116">
        <v>213</v>
      </c>
      <c r="L161" s="1058">
        <v>1.9</v>
      </c>
      <c r="M161" s="1058">
        <v>65.3</v>
      </c>
      <c r="N161" s="1058">
        <v>22200</v>
      </c>
      <c r="O161" s="1058">
        <v>31.9</v>
      </c>
      <c r="P161" s="1058">
        <v>1361</v>
      </c>
      <c r="Q161" s="1058">
        <v>334</v>
      </c>
      <c r="R161" s="1058">
        <v>59.6</v>
      </c>
      <c r="S161" s="1058">
        <v>209</v>
      </c>
      <c r="T161" s="116">
        <v>35.918108830784632</v>
      </c>
      <c r="U161" s="116">
        <v>29.895419806799104</v>
      </c>
      <c r="V161" s="116">
        <v>44.702757983757238</v>
      </c>
      <c r="W161" s="116">
        <v>39.505687696482589</v>
      </c>
      <c r="X161" s="1058">
        <v>1.8</v>
      </c>
      <c r="Y161" s="1058">
        <v>63.5</v>
      </c>
      <c r="Z161" s="1058">
        <v>17800</v>
      </c>
      <c r="AA161" s="1058">
        <v>29.8</v>
      </c>
      <c r="AB161" s="1058">
        <v>2140</v>
      </c>
      <c r="AC161" s="1058">
        <v>411</v>
      </c>
      <c r="AD161" s="1058">
        <v>71.400000000000006</v>
      </c>
      <c r="AE161" s="1058">
        <v>158</v>
      </c>
      <c r="AF161" s="116">
        <v>39.290839944953866</v>
      </c>
      <c r="AG161" s="116">
        <v>33.352631980710377</v>
      </c>
      <c r="AH161" s="116">
        <v>49.057187374413246</v>
      </c>
      <c r="AI161" s="116">
        <v>44.074265268755177</v>
      </c>
    </row>
    <row r="162" spans="1:35">
      <c r="A162" s="1102"/>
      <c r="B162" s="1038">
        <v>41719</v>
      </c>
      <c r="C162" s="116"/>
      <c r="D162" s="116"/>
      <c r="E162" s="116"/>
      <c r="F162" s="116"/>
      <c r="G162" s="116"/>
      <c r="H162" s="116"/>
      <c r="I162" s="116"/>
      <c r="J162" s="116"/>
      <c r="K162" s="116"/>
      <c r="L162" s="1058"/>
      <c r="M162" s="1058"/>
      <c r="N162" s="1058"/>
      <c r="O162" s="1058"/>
      <c r="P162" s="1058"/>
      <c r="Q162" s="1058"/>
      <c r="R162" s="1058"/>
      <c r="S162" s="1058"/>
      <c r="T162" s="116"/>
      <c r="U162" s="116"/>
      <c r="V162" s="116"/>
      <c r="W162" s="116"/>
      <c r="X162" s="1058"/>
      <c r="Y162" s="1058"/>
      <c r="Z162" s="1058"/>
      <c r="AA162" s="1058"/>
      <c r="AB162" s="1058"/>
      <c r="AC162" s="1058"/>
      <c r="AD162" s="1058"/>
      <c r="AE162" s="1058"/>
      <c r="AF162" s="116"/>
      <c r="AG162" s="116"/>
      <c r="AH162" s="116"/>
      <c r="AI162" s="116"/>
    </row>
    <row r="163" spans="1:35">
      <c r="A163" s="1102"/>
      <c r="B163" s="1038">
        <v>41720</v>
      </c>
      <c r="C163" s="116"/>
      <c r="D163" s="116"/>
      <c r="E163" s="116"/>
      <c r="F163" s="116"/>
      <c r="G163" s="116"/>
      <c r="H163" s="116"/>
      <c r="I163" s="116"/>
      <c r="J163" s="116"/>
      <c r="K163" s="116"/>
      <c r="L163" s="1058"/>
      <c r="M163" s="1058"/>
      <c r="N163" s="1058"/>
      <c r="O163" s="1058"/>
      <c r="P163" s="1058"/>
      <c r="Q163" s="1058"/>
      <c r="R163" s="1058"/>
      <c r="S163" s="1058"/>
      <c r="T163" s="116"/>
      <c r="U163" s="116"/>
      <c r="V163" s="116"/>
      <c r="W163" s="116"/>
      <c r="X163" s="1058"/>
      <c r="Y163" s="1058"/>
      <c r="Z163" s="1058"/>
      <c r="AA163" s="1058"/>
      <c r="AB163" s="1058"/>
      <c r="AC163" s="1058"/>
      <c r="AD163" s="1058"/>
      <c r="AE163" s="1058"/>
      <c r="AF163" s="116"/>
      <c r="AG163" s="116"/>
      <c r="AH163" s="116"/>
      <c r="AI163" s="116"/>
    </row>
    <row r="164" spans="1:35">
      <c r="A164" s="1102"/>
      <c r="B164" s="1038">
        <v>41721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058"/>
      <c r="M164" s="1058"/>
      <c r="N164" s="1058"/>
      <c r="O164" s="1058"/>
      <c r="P164" s="1058"/>
      <c r="Q164" s="1058"/>
      <c r="R164" s="1058"/>
      <c r="S164" s="1058"/>
      <c r="T164" s="116"/>
      <c r="U164" s="116"/>
      <c r="V164" s="116"/>
      <c r="W164" s="116"/>
      <c r="X164" s="1058"/>
      <c r="Y164" s="1058"/>
      <c r="Z164" s="1058"/>
      <c r="AA164" s="1058"/>
      <c r="AB164" s="1058"/>
      <c r="AC164" s="1058"/>
      <c r="AD164" s="1058"/>
      <c r="AE164" s="1058"/>
      <c r="AF164" s="116"/>
      <c r="AG164" s="116"/>
      <c r="AH164" s="116"/>
      <c r="AI164" s="116"/>
    </row>
    <row r="165" spans="1:35">
      <c r="A165" s="1102"/>
      <c r="B165" s="1038">
        <v>41722</v>
      </c>
      <c r="C165" s="116"/>
      <c r="D165" s="116"/>
      <c r="E165" s="116"/>
      <c r="F165" s="116"/>
      <c r="G165" s="116"/>
      <c r="H165" s="116"/>
      <c r="I165" s="116"/>
      <c r="J165" s="116"/>
      <c r="K165" s="116"/>
      <c r="L165" s="1058"/>
      <c r="M165" s="1058"/>
      <c r="N165" s="1058"/>
      <c r="O165" s="1058"/>
      <c r="P165" s="1058"/>
      <c r="Q165" s="1058"/>
      <c r="R165" s="1058"/>
      <c r="S165" s="1058"/>
      <c r="T165" s="116"/>
      <c r="U165" s="116"/>
      <c r="V165" s="116"/>
      <c r="W165" s="116"/>
      <c r="X165" s="1058"/>
      <c r="Y165" s="1058"/>
      <c r="Z165" s="1058"/>
      <c r="AA165" s="1058"/>
      <c r="AB165" s="1058"/>
      <c r="AC165" s="1058"/>
      <c r="AD165" s="1058"/>
      <c r="AE165" s="1058"/>
      <c r="AF165" s="116"/>
      <c r="AG165" s="116"/>
      <c r="AH165" s="116"/>
      <c r="AI165" s="116"/>
    </row>
    <row r="166" spans="1:35">
      <c r="A166" s="1102"/>
      <c r="B166" s="1038">
        <v>41723</v>
      </c>
      <c r="C166" s="116">
        <v>3.0945510810019679</v>
      </c>
      <c r="D166" s="116">
        <v>72.972972972972997</v>
      </c>
      <c r="E166" s="116"/>
      <c r="F166" s="116">
        <v>5.99</v>
      </c>
      <c r="G166" s="116"/>
      <c r="H166" s="116"/>
      <c r="I166" s="116"/>
      <c r="J166" s="116"/>
      <c r="K166" s="116"/>
      <c r="L166" s="1194">
        <v>1.7950575545359444</v>
      </c>
      <c r="M166" s="1194">
        <v>63.901345291479579</v>
      </c>
      <c r="N166" s="1058"/>
      <c r="O166" s="1058"/>
      <c r="P166" s="1058"/>
      <c r="Q166" s="1058"/>
      <c r="R166" s="1058"/>
      <c r="S166" s="1058"/>
      <c r="T166" s="116">
        <v>40.053073048545123</v>
      </c>
      <c r="U166" s="116">
        <v>30.47111524679821</v>
      </c>
      <c r="V166" s="116">
        <v>48.856639154853568</v>
      </c>
      <c r="W166" s="116">
        <v>40.681849380315924</v>
      </c>
      <c r="X166" s="1193">
        <v>1.6984725407128161</v>
      </c>
      <c r="Y166" s="1193">
        <v>63.615560640732227</v>
      </c>
      <c r="Z166" s="1058"/>
      <c r="AA166" s="1058"/>
      <c r="AB166" s="1058"/>
      <c r="AC166" s="1058"/>
      <c r="AD166" s="1058"/>
      <c r="AE166" s="1058"/>
      <c r="AF166" s="116">
        <v>43.278582310701985</v>
      </c>
      <c r="AG166" s="116">
        <v>31.017235742151826</v>
      </c>
      <c r="AH166" s="116">
        <v>51.824883477205908</v>
      </c>
      <c r="AI166" s="116">
        <v>41.410972405696945</v>
      </c>
    </row>
    <row r="167" spans="1:35">
      <c r="A167" s="1102"/>
      <c r="B167" s="1038">
        <v>41724</v>
      </c>
      <c r="C167" s="116"/>
      <c r="D167" s="116"/>
      <c r="E167" s="116"/>
      <c r="F167" s="116"/>
      <c r="G167" s="116"/>
      <c r="H167" s="116"/>
      <c r="I167" s="116"/>
      <c r="J167" s="116"/>
      <c r="K167" s="116"/>
      <c r="L167" s="1058"/>
      <c r="M167" s="1058"/>
      <c r="N167" s="1058"/>
      <c r="O167" s="1058"/>
      <c r="P167" s="1058"/>
      <c r="Q167" s="1058"/>
      <c r="R167" s="1058"/>
      <c r="S167" s="1058"/>
      <c r="T167" s="116"/>
      <c r="U167" s="116"/>
      <c r="V167" s="116"/>
      <c r="W167" s="116"/>
      <c r="X167" s="1058"/>
      <c r="Y167" s="1058"/>
      <c r="Z167" s="1058"/>
      <c r="AA167" s="1058"/>
      <c r="AB167" s="1058"/>
      <c r="AC167" s="1058"/>
      <c r="AD167" s="1058"/>
      <c r="AE167" s="1058"/>
      <c r="AF167" s="116"/>
      <c r="AG167" s="116"/>
      <c r="AH167" s="116"/>
      <c r="AI167" s="116"/>
    </row>
    <row r="168" spans="1:35">
      <c r="A168" s="1102"/>
      <c r="B168" s="1038">
        <v>41725</v>
      </c>
      <c r="C168" s="116">
        <v>2.6</v>
      </c>
      <c r="D168" s="116">
        <v>77.7</v>
      </c>
      <c r="E168" s="116">
        <v>34900</v>
      </c>
      <c r="F168" s="116"/>
      <c r="G168" s="116"/>
      <c r="H168" s="116">
        <v>5861</v>
      </c>
      <c r="I168" s="116"/>
      <c r="J168" s="116"/>
      <c r="K168" s="116"/>
      <c r="L168" s="1058">
        <v>1.9</v>
      </c>
      <c r="M168" s="1058">
        <v>64.8</v>
      </c>
      <c r="N168" s="1058">
        <v>19700</v>
      </c>
      <c r="O168" s="1058"/>
      <c r="P168" s="1058">
        <v>1032</v>
      </c>
      <c r="Q168" s="1058"/>
      <c r="R168" s="1058"/>
      <c r="S168" s="1058"/>
      <c r="T168" s="116">
        <v>36.121813412025418</v>
      </c>
      <c r="U168" s="116">
        <v>29.292636279138062</v>
      </c>
      <c r="V168" s="116">
        <v>44.890814239373711</v>
      </c>
      <c r="W168" s="116">
        <v>38.999125521971067</v>
      </c>
      <c r="X168" s="1058">
        <v>1.9</v>
      </c>
      <c r="Y168" s="1058">
        <v>62.5</v>
      </c>
      <c r="Z168" s="1058">
        <v>22300</v>
      </c>
      <c r="AA168" s="1058"/>
      <c r="AB168" s="1058">
        <v>2043</v>
      </c>
      <c r="AC168" s="1058"/>
      <c r="AD168" s="1058"/>
      <c r="AE168" s="1058"/>
      <c r="AF168" s="116">
        <v>36.121813412025418</v>
      </c>
      <c r="AG168" s="116">
        <v>33.62935458735091</v>
      </c>
      <c r="AH168" s="116">
        <v>46.846850153716922</v>
      </c>
      <c r="AI168" s="116">
        <v>44.772870842936761</v>
      </c>
    </row>
    <row r="169" spans="1:35">
      <c r="A169" s="1102"/>
      <c r="B169" s="1038">
        <v>41726</v>
      </c>
      <c r="C169" s="116"/>
      <c r="D169" s="116"/>
      <c r="E169" s="116"/>
      <c r="F169" s="116"/>
      <c r="G169" s="116"/>
      <c r="H169" s="116"/>
      <c r="I169" s="116"/>
      <c r="J169" s="116"/>
      <c r="K169" s="116"/>
      <c r="L169" s="1058"/>
      <c r="M169" s="1058"/>
      <c r="N169" s="1058"/>
      <c r="O169" s="1058"/>
      <c r="P169" s="1058"/>
      <c r="Q169" s="1058"/>
      <c r="R169" s="1058"/>
      <c r="S169" s="1058"/>
      <c r="T169" s="116"/>
      <c r="U169" s="116"/>
      <c r="V169" s="116"/>
      <c r="W169" s="116"/>
      <c r="X169" s="1058"/>
      <c r="Y169" s="1058"/>
      <c r="Z169" s="1058"/>
      <c r="AA169" s="1058"/>
      <c r="AB169" s="1058"/>
      <c r="AC169" s="1058"/>
      <c r="AD169" s="1058"/>
      <c r="AE169" s="1058"/>
      <c r="AF169" s="116"/>
      <c r="AG169" s="116"/>
      <c r="AH169" s="116"/>
      <c r="AI169" s="116"/>
    </row>
    <row r="170" spans="1:35">
      <c r="A170" s="1102"/>
      <c r="B170" s="1038">
        <v>41727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058"/>
      <c r="M170" s="1058"/>
      <c r="N170" s="1058"/>
      <c r="O170" s="1058"/>
      <c r="P170" s="1058"/>
      <c r="Q170" s="1058"/>
      <c r="R170" s="1058"/>
      <c r="S170" s="1058"/>
      <c r="T170" s="116"/>
      <c r="U170" s="116"/>
      <c r="V170" s="116"/>
      <c r="W170" s="116"/>
      <c r="X170" s="1058"/>
      <c r="Y170" s="1058"/>
      <c r="Z170" s="1058"/>
      <c r="AA170" s="1058"/>
      <c r="AB170" s="1058"/>
      <c r="AC170" s="1058"/>
      <c r="AD170" s="1058"/>
      <c r="AE170" s="1058"/>
      <c r="AF170" s="116"/>
      <c r="AG170" s="116"/>
      <c r="AH170" s="116"/>
      <c r="AI170" s="116"/>
    </row>
    <row r="171" spans="1:35">
      <c r="A171" s="1102"/>
      <c r="B171" s="1038">
        <v>41728</v>
      </c>
      <c r="C171" s="116"/>
      <c r="D171" s="116"/>
      <c r="E171" s="116"/>
      <c r="F171" s="116"/>
      <c r="G171" s="116"/>
      <c r="H171" s="116"/>
      <c r="I171" s="116"/>
      <c r="J171" s="116"/>
      <c r="K171" s="116"/>
      <c r="L171" s="1058"/>
      <c r="M171" s="1058"/>
      <c r="N171" s="1058"/>
      <c r="O171" s="1058"/>
      <c r="P171" s="1058"/>
      <c r="Q171" s="1058"/>
      <c r="R171" s="1058"/>
      <c r="S171" s="1058"/>
      <c r="T171" s="116"/>
      <c r="U171" s="116"/>
      <c r="V171" s="116"/>
      <c r="W171" s="116"/>
      <c r="X171" s="1058"/>
      <c r="Y171" s="1058"/>
      <c r="Z171" s="1058"/>
      <c r="AA171" s="1058"/>
      <c r="AB171" s="1058"/>
      <c r="AC171" s="1058"/>
      <c r="AD171" s="1058"/>
      <c r="AE171" s="1058"/>
      <c r="AF171" s="116"/>
      <c r="AG171" s="116"/>
      <c r="AH171" s="116"/>
      <c r="AI171" s="116"/>
    </row>
    <row r="172" spans="1:35">
      <c r="A172" s="1102"/>
      <c r="B172" s="1038">
        <v>41729</v>
      </c>
      <c r="C172" s="116"/>
      <c r="D172" s="116"/>
      <c r="E172" s="116"/>
      <c r="F172" s="116"/>
      <c r="G172" s="116"/>
      <c r="H172" s="116"/>
      <c r="I172" s="116"/>
      <c r="J172" s="116"/>
      <c r="K172" s="116"/>
      <c r="L172" s="1058"/>
      <c r="M172" s="1058"/>
      <c r="N172" s="1058"/>
      <c r="O172" s="1058"/>
      <c r="P172" s="1058"/>
      <c r="Q172" s="1058"/>
      <c r="R172" s="1058"/>
      <c r="S172" s="1058"/>
      <c r="T172" s="116"/>
      <c r="U172" s="116"/>
      <c r="V172" s="116"/>
      <c r="W172" s="116"/>
      <c r="X172" s="1058"/>
      <c r="Y172" s="1058"/>
      <c r="Z172" s="1058"/>
      <c r="AA172" s="1058"/>
      <c r="AB172" s="1058"/>
      <c r="AC172" s="1058"/>
      <c r="AD172" s="1058"/>
      <c r="AE172" s="1058"/>
      <c r="AF172" s="116"/>
      <c r="AG172" s="116"/>
      <c r="AH172" s="116"/>
      <c r="AI172" s="116"/>
    </row>
    <row r="173" spans="1:35">
      <c r="A173" s="1102"/>
      <c r="B173" s="1038">
        <v>41730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058"/>
      <c r="M173" s="1058"/>
      <c r="N173" s="1058"/>
      <c r="O173" s="1058"/>
      <c r="P173" s="1058"/>
      <c r="Q173" s="1058"/>
      <c r="R173" s="1058"/>
      <c r="S173" s="1058"/>
      <c r="T173" s="116"/>
      <c r="U173" s="116"/>
      <c r="V173" s="116"/>
      <c r="W173" s="116"/>
      <c r="X173" s="1058"/>
      <c r="Y173" s="1058"/>
      <c r="Z173" s="1058"/>
      <c r="AA173" s="1058"/>
      <c r="AB173" s="1058"/>
      <c r="AC173" s="1058"/>
      <c r="AD173" s="1058"/>
      <c r="AE173" s="1058"/>
      <c r="AF173" s="116"/>
      <c r="AG173" s="116"/>
      <c r="AH173" s="116"/>
      <c r="AI173" s="116"/>
    </row>
    <row r="174" spans="1:35">
      <c r="A174" s="1102"/>
      <c r="B174" s="1038">
        <v>41731</v>
      </c>
      <c r="C174" s="116"/>
      <c r="D174" s="116"/>
      <c r="E174" s="116"/>
      <c r="F174" s="116"/>
      <c r="G174" s="116"/>
      <c r="H174" s="116"/>
      <c r="I174" s="116"/>
      <c r="J174" s="116"/>
      <c r="K174" s="116"/>
      <c r="L174" s="1058"/>
      <c r="M174" s="1058"/>
      <c r="N174" s="1058"/>
      <c r="O174" s="1058"/>
      <c r="P174" s="1058"/>
      <c r="Q174" s="1058"/>
      <c r="R174" s="1058"/>
      <c r="S174" s="1058"/>
      <c r="T174" s="116"/>
      <c r="U174" s="116"/>
      <c r="V174" s="116"/>
      <c r="W174" s="116"/>
      <c r="X174" s="1058"/>
      <c r="Y174" s="1058"/>
      <c r="Z174" s="1058"/>
      <c r="AA174" s="1058"/>
      <c r="AB174" s="1058"/>
      <c r="AC174" s="1058"/>
      <c r="AD174" s="1058"/>
      <c r="AE174" s="1058"/>
      <c r="AF174" s="116"/>
      <c r="AG174" s="116"/>
      <c r="AH174" s="116"/>
      <c r="AI174" s="116"/>
    </row>
    <row r="175" spans="1:35">
      <c r="A175" s="1102"/>
      <c r="B175" s="1038">
        <v>41732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058"/>
      <c r="M175" s="1058"/>
      <c r="N175" s="1058"/>
      <c r="O175" s="1058"/>
      <c r="P175" s="1058"/>
      <c r="Q175" s="1058"/>
      <c r="R175" s="1058"/>
      <c r="S175" s="1058"/>
      <c r="T175" s="116"/>
      <c r="U175" s="116"/>
      <c r="V175" s="116"/>
      <c r="W175" s="116"/>
      <c r="X175" s="1058"/>
      <c r="Y175" s="1058"/>
      <c r="Z175" s="1058"/>
      <c r="AA175" s="1058"/>
      <c r="AB175" s="1058"/>
      <c r="AC175" s="1058"/>
      <c r="AD175" s="1058"/>
      <c r="AE175" s="1058"/>
      <c r="AF175" s="116"/>
      <c r="AG175" s="116"/>
      <c r="AH175" s="116"/>
      <c r="AI175" s="116"/>
    </row>
    <row r="176" spans="1:35">
      <c r="A176" s="1102"/>
      <c r="B176" s="1038">
        <v>41733</v>
      </c>
      <c r="C176" s="116">
        <v>2.2000000000000002</v>
      </c>
      <c r="D176" s="116">
        <v>78.3</v>
      </c>
      <c r="E176" s="116">
        <v>26800</v>
      </c>
      <c r="F176" s="116"/>
      <c r="G176" s="116">
        <v>42.2</v>
      </c>
      <c r="H176" s="116">
        <v>4058</v>
      </c>
      <c r="I176" s="116">
        <v>2166</v>
      </c>
      <c r="J176" s="116">
        <v>33.1</v>
      </c>
      <c r="K176" s="116">
        <v>22</v>
      </c>
      <c r="L176" s="1058">
        <v>1.9</v>
      </c>
      <c r="M176" s="1058">
        <v>65.8</v>
      </c>
      <c r="N176" s="1058">
        <v>16200</v>
      </c>
      <c r="O176" s="1058">
        <v>31.2</v>
      </c>
      <c r="P176" s="1058">
        <v>1583</v>
      </c>
      <c r="Q176" s="1058">
        <v>510</v>
      </c>
      <c r="R176" s="1058">
        <v>64.099999999999994</v>
      </c>
      <c r="S176" s="1058">
        <v>175</v>
      </c>
      <c r="T176" s="116">
        <v>33.162620056077344</v>
      </c>
      <c r="U176" s="116">
        <v>28.59012833524741</v>
      </c>
      <c r="V176" s="116">
        <v>41.809655611771049</v>
      </c>
      <c r="W176" s="116">
        <v>37.828726554248746</v>
      </c>
      <c r="X176" s="1058">
        <v>1.9</v>
      </c>
      <c r="Y176" s="1058">
        <v>61</v>
      </c>
      <c r="Z176" s="1058">
        <v>18000</v>
      </c>
      <c r="AA176" s="1058">
        <v>32.5</v>
      </c>
      <c r="AB176" s="1058">
        <v>2015</v>
      </c>
      <c r="AC176" s="1058">
        <v>521</v>
      </c>
      <c r="AD176" s="1058">
        <v>68.5</v>
      </c>
      <c r="AE176" s="1058">
        <v>159</v>
      </c>
      <c r="AF176" s="116">
        <v>33.162620056077344</v>
      </c>
      <c r="AG176" s="116">
        <v>37.379035617063117</v>
      </c>
      <c r="AH176" s="116">
        <v>46.054543956201108</v>
      </c>
      <c r="AI176" s="116">
        <v>49.457676462268616</v>
      </c>
    </row>
    <row r="177" spans="1:35">
      <c r="A177" s="1102"/>
      <c r="B177" s="1038">
        <v>41734</v>
      </c>
      <c r="C177" s="116"/>
      <c r="D177" s="116"/>
      <c r="E177" s="116"/>
      <c r="F177" s="116"/>
      <c r="G177" s="116"/>
      <c r="H177" s="116"/>
      <c r="I177" s="116"/>
      <c r="J177" s="116"/>
      <c r="K177" s="116"/>
      <c r="L177" s="1058"/>
      <c r="M177" s="1058"/>
      <c r="N177" s="1058"/>
      <c r="O177" s="1058"/>
      <c r="P177" s="1058"/>
      <c r="Q177" s="1058"/>
      <c r="R177" s="1058"/>
      <c r="S177" s="1058"/>
      <c r="T177" s="116"/>
      <c r="U177" s="116"/>
      <c r="V177" s="116"/>
      <c r="W177" s="116"/>
      <c r="X177" s="1058"/>
      <c r="Y177" s="1058"/>
      <c r="Z177" s="1058"/>
      <c r="AA177" s="1058"/>
      <c r="AB177" s="1058"/>
      <c r="AC177" s="1058"/>
      <c r="AD177" s="1058"/>
      <c r="AE177" s="1058"/>
      <c r="AF177" s="116"/>
      <c r="AG177" s="116"/>
      <c r="AH177" s="116"/>
      <c r="AI177" s="116"/>
    </row>
    <row r="178" spans="1:35">
      <c r="A178" s="1102"/>
      <c r="B178" s="1182">
        <v>41735</v>
      </c>
      <c r="C178" s="116"/>
      <c r="D178" s="116"/>
      <c r="E178" s="116"/>
      <c r="F178" s="116"/>
      <c r="G178" s="116"/>
      <c r="H178" s="116"/>
      <c r="I178" s="116"/>
      <c r="J178" s="116"/>
      <c r="K178" s="116"/>
      <c r="L178" s="1058"/>
      <c r="M178" s="1058"/>
      <c r="N178" s="1058"/>
      <c r="O178" s="1058"/>
      <c r="P178" s="1058"/>
      <c r="Q178" s="1058"/>
      <c r="R178" s="1058"/>
      <c r="S178" s="1058"/>
      <c r="T178" s="116"/>
      <c r="U178" s="116"/>
      <c r="V178" s="116"/>
      <c r="W178" s="116"/>
      <c r="X178" s="1058"/>
      <c r="Y178" s="1058"/>
      <c r="Z178" s="1058"/>
      <c r="AA178" s="1058"/>
      <c r="AB178" s="1058"/>
      <c r="AC178" s="1058"/>
      <c r="AD178" s="1058"/>
      <c r="AE178" s="1058"/>
      <c r="AF178" s="116"/>
      <c r="AG178" s="116"/>
      <c r="AH178" s="116"/>
      <c r="AI178" s="116"/>
    </row>
    <row r="179" spans="1:35">
      <c r="A179" s="1102"/>
      <c r="B179" s="1182">
        <v>41736</v>
      </c>
      <c r="C179" s="116"/>
      <c r="D179" s="116"/>
      <c r="E179" s="116"/>
      <c r="F179" s="116"/>
      <c r="G179" s="116"/>
      <c r="H179" s="116"/>
      <c r="I179" s="116"/>
      <c r="J179" s="116"/>
      <c r="K179" s="116"/>
      <c r="L179" s="1058"/>
      <c r="M179" s="1058"/>
      <c r="N179" s="1058"/>
      <c r="O179" s="1058"/>
      <c r="P179" s="1058"/>
      <c r="Q179" s="1058"/>
      <c r="R179" s="1058"/>
      <c r="S179" s="1058"/>
      <c r="T179" s="116"/>
      <c r="U179" s="116"/>
      <c r="V179" s="116"/>
      <c r="W179" s="116"/>
      <c r="X179" s="1058"/>
      <c r="Y179" s="1058"/>
      <c r="Z179" s="1058"/>
      <c r="AA179" s="1058"/>
      <c r="AB179" s="1058"/>
      <c r="AC179" s="1058"/>
      <c r="AD179" s="1058"/>
      <c r="AE179" s="1058"/>
      <c r="AF179" s="116"/>
      <c r="AG179" s="116"/>
      <c r="AH179" s="116"/>
      <c r="AI179" s="116"/>
    </row>
    <row r="180" spans="1:35">
      <c r="A180" s="1102"/>
      <c r="B180" s="1182">
        <v>41737</v>
      </c>
      <c r="C180" s="116"/>
      <c r="D180" s="116"/>
      <c r="E180" s="116"/>
      <c r="F180" s="116"/>
      <c r="G180" s="116"/>
      <c r="H180" s="116"/>
      <c r="I180" s="116"/>
      <c r="J180" s="116"/>
      <c r="K180" s="116"/>
      <c r="L180" s="1058"/>
      <c r="M180" s="1058"/>
      <c r="N180" s="1058"/>
      <c r="O180" s="1058"/>
      <c r="P180" s="1058"/>
      <c r="Q180" s="1058"/>
      <c r="R180" s="1058"/>
      <c r="S180" s="1058"/>
      <c r="T180" s="116"/>
      <c r="U180" s="116"/>
      <c r="V180" s="116"/>
      <c r="W180" s="116"/>
      <c r="X180" s="1058"/>
      <c r="Y180" s="1058"/>
      <c r="Z180" s="1058"/>
      <c r="AA180" s="1058"/>
      <c r="AB180" s="1058"/>
      <c r="AC180" s="1058"/>
      <c r="AD180" s="1058"/>
      <c r="AE180" s="1058"/>
      <c r="AF180" s="116"/>
      <c r="AG180" s="116"/>
      <c r="AH180" s="116"/>
      <c r="AI180" s="116"/>
    </row>
    <row r="181" spans="1:35">
      <c r="A181" s="1102"/>
      <c r="B181" s="1182">
        <v>41738</v>
      </c>
      <c r="C181" s="116">
        <v>2.7</v>
      </c>
      <c r="D181" s="116">
        <v>79.02</v>
      </c>
      <c r="E181" s="116"/>
      <c r="F181" s="116">
        <v>5.68</v>
      </c>
      <c r="G181" s="116"/>
      <c r="H181" s="116"/>
      <c r="I181" s="116"/>
      <c r="J181" s="116"/>
      <c r="K181" s="116"/>
      <c r="L181" s="1191">
        <v>1.85</v>
      </c>
      <c r="M181" s="1191">
        <v>66.08</v>
      </c>
      <c r="N181" s="1058"/>
      <c r="O181" s="1058"/>
      <c r="P181" s="1058"/>
      <c r="Q181" s="1058"/>
      <c r="R181" s="1058"/>
      <c r="S181" s="1058"/>
      <c r="T181" s="116">
        <v>34.084192641647782</v>
      </c>
      <c r="U181" s="116">
        <v>30.050037649646242</v>
      </c>
      <c r="V181" s="116">
        <v>42.893053830075431</v>
      </c>
      <c r="W181" s="116">
        <v>39.398015519812311</v>
      </c>
      <c r="X181" s="1191">
        <v>1.81</v>
      </c>
      <c r="Y181" s="1191">
        <v>62.22</v>
      </c>
      <c r="Z181" s="1058"/>
      <c r="AA181" s="1058"/>
      <c r="AB181" s="1058"/>
      <c r="AC181" s="1058"/>
      <c r="AD181" s="1058"/>
      <c r="AE181" s="1058"/>
      <c r="AF181" s="116">
        <v>35.509399287233784</v>
      </c>
      <c r="AG181" s="116">
        <v>37.196857519216529</v>
      </c>
      <c r="AH181" s="116">
        <v>47.391519819107067</v>
      </c>
      <c r="AI181" s="116">
        <v>48.768071005980659</v>
      </c>
    </row>
    <row r="182" spans="1:35">
      <c r="A182" s="1102"/>
      <c r="B182" s="1182">
        <v>41739</v>
      </c>
      <c r="C182" s="116"/>
      <c r="D182" s="116"/>
      <c r="E182" s="116"/>
      <c r="F182" s="116"/>
      <c r="G182" s="116"/>
      <c r="H182" s="116"/>
      <c r="I182" s="116"/>
      <c r="J182" s="116"/>
      <c r="K182" s="116"/>
      <c r="L182" s="1058"/>
      <c r="M182" s="1058"/>
      <c r="N182" s="1058"/>
      <c r="O182" s="1058"/>
      <c r="P182" s="1058"/>
      <c r="Q182" s="1058"/>
      <c r="R182" s="1058"/>
      <c r="S182" s="1058"/>
      <c r="T182" s="116"/>
      <c r="U182" s="116"/>
      <c r="V182" s="116"/>
      <c r="W182" s="116"/>
      <c r="X182" s="1058"/>
      <c r="Y182" s="1058"/>
      <c r="Z182" s="1058"/>
      <c r="AA182" s="1058"/>
      <c r="AB182" s="1058"/>
      <c r="AC182" s="1058"/>
      <c r="AD182" s="1058"/>
      <c r="AE182" s="1058"/>
      <c r="AF182" s="116"/>
      <c r="AG182" s="116"/>
      <c r="AH182" s="116"/>
      <c r="AI182" s="116"/>
    </row>
    <row r="183" spans="1:35">
      <c r="A183" s="1102"/>
      <c r="B183" s="1182">
        <v>41740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058"/>
      <c r="M183" s="1058"/>
      <c r="N183" s="1058"/>
      <c r="O183" s="1058"/>
      <c r="P183" s="1058"/>
      <c r="Q183" s="1058"/>
      <c r="R183" s="1058"/>
      <c r="S183" s="1058"/>
      <c r="T183" s="116"/>
      <c r="U183" s="116"/>
      <c r="V183" s="116"/>
      <c r="W183" s="116"/>
      <c r="X183" s="1058"/>
      <c r="Y183" s="1058"/>
      <c r="Z183" s="1058"/>
      <c r="AA183" s="1058"/>
      <c r="AB183" s="1058"/>
      <c r="AC183" s="1058"/>
      <c r="AD183" s="1058"/>
      <c r="AE183" s="1058"/>
      <c r="AF183" s="116"/>
      <c r="AG183" s="116"/>
      <c r="AH183" s="116"/>
      <c r="AI183" s="116"/>
    </row>
    <row r="184" spans="1:35">
      <c r="A184" s="1102"/>
      <c r="B184" s="1182">
        <v>41741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058"/>
      <c r="M184" s="1058"/>
      <c r="N184" s="1058"/>
      <c r="O184" s="1058"/>
      <c r="P184" s="1058"/>
      <c r="Q184" s="1058"/>
      <c r="R184" s="1058"/>
      <c r="S184" s="1058"/>
      <c r="T184" s="116"/>
      <c r="U184" s="116"/>
      <c r="V184" s="116"/>
      <c r="W184" s="116"/>
      <c r="X184" s="1058"/>
      <c r="Y184" s="1058"/>
      <c r="Z184" s="1058"/>
      <c r="AA184" s="1058"/>
      <c r="AB184" s="1058"/>
      <c r="AC184" s="1058"/>
      <c r="AD184" s="1058"/>
      <c r="AE184" s="1058"/>
      <c r="AF184" s="116"/>
      <c r="AG184" s="116"/>
      <c r="AH184" s="116"/>
      <c r="AI184" s="116"/>
    </row>
    <row r="185" spans="1:35">
      <c r="A185" s="1102"/>
      <c r="B185" s="1182">
        <v>41742</v>
      </c>
      <c r="C185" s="116"/>
      <c r="D185" s="116"/>
      <c r="E185" s="116"/>
      <c r="F185" s="116"/>
      <c r="G185" s="116"/>
      <c r="H185" s="116"/>
      <c r="I185" s="116"/>
      <c r="J185" s="116"/>
      <c r="K185" s="116"/>
      <c r="L185" s="1058"/>
      <c r="M185" s="1058"/>
      <c r="N185" s="1058"/>
      <c r="O185" s="1058"/>
      <c r="P185" s="1058"/>
      <c r="Q185" s="1058"/>
      <c r="R185" s="1058"/>
      <c r="S185" s="1058"/>
      <c r="T185" s="116"/>
      <c r="U185" s="116"/>
      <c r="V185" s="116"/>
      <c r="W185" s="116"/>
      <c r="X185" s="1058"/>
      <c r="Y185" s="1058"/>
      <c r="Z185" s="1058"/>
      <c r="AA185" s="1058"/>
      <c r="AB185" s="1058"/>
      <c r="AC185" s="1058"/>
      <c r="AD185" s="1058"/>
      <c r="AE185" s="1058"/>
      <c r="AF185" s="116"/>
      <c r="AG185" s="116"/>
      <c r="AH185" s="116"/>
      <c r="AI185" s="116"/>
    </row>
    <row r="186" spans="1:35">
      <c r="A186" s="1102"/>
      <c r="B186" s="1182">
        <v>41743</v>
      </c>
      <c r="C186" s="116"/>
      <c r="D186" s="116"/>
      <c r="E186" s="116"/>
      <c r="F186" s="116"/>
      <c r="G186" s="116"/>
      <c r="H186" s="116"/>
      <c r="I186" s="116"/>
      <c r="J186" s="116"/>
      <c r="K186" s="116"/>
      <c r="L186" s="1058"/>
      <c r="M186" s="1058"/>
      <c r="N186" s="1058"/>
      <c r="O186" s="1058"/>
      <c r="P186" s="1058"/>
      <c r="Q186" s="1058"/>
      <c r="R186" s="1058"/>
      <c r="S186" s="1058"/>
      <c r="T186" s="116"/>
      <c r="U186" s="116"/>
      <c r="V186" s="116"/>
      <c r="W186" s="116"/>
      <c r="X186" s="1058"/>
      <c r="Y186" s="1058"/>
      <c r="Z186" s="1058"/>
      <c r="AA186" s="1058"/>
      <c r="AB186" s="1058"/>
      <c r="AC186" s="1058"/>
      <c r="AD186" s="1058"/>
      <c r="AE186" s="1058"/>
      <c r="AF186" s="116"/>
      <c r="AG186" s="116"/>
      <c r="AH186" s="116"/>
      <c r="AI186" s="116"/>
    </row>
    <row r="187" spans="1:35">
      <c r="A187" s="1102"/>
      <c r="B187" s="1182">
        <v>41744</v>
      </c>
      <c r="C187" s="116"/>
      <c r="D187" s="116"/>
      <c r="E187" s="116"/>
      <c r="F187" s="116"/>
      <c r="G187" s="116"/>
      <c r="H187" s="116"/>
      <c r="I187" s="116"/>
      <c r="J187" s="116"/>
      <c r="K187" s="116"/>
      <c r="L187" s="1058"/>
      <c r="M187" s="1058"/>
      <c r="N187" s="1058"/>
      <c r="O187" s="1058"/>
      <c r="P187" s="1058"/>
      <c r="Q187" s="1058"/>
      <c r="R187" s="1058"/>
      <c r="S187" s="1058"/>
      <c r="T187" s="116"/>
      <c r="U187" s="116"/>
      <c r="V187" s="116"/>
      <c r="W187" s="116"/>
      <c r="X187" s="1058"/>
      <c r="Y187" s="1058"/>
      <c r="Z187" s="1058"/>
      <c r="AA187" s="1058"/>
      <c r="AB187" s="1058"/>
      <c r="AC187" s="1058"/>
      <c r="AD187" s="1058"/>
      <c r="AE187" s="1058"/>
      <c r="AF187" s="116"/>
      <c r="AG187" s="116"/>
      <c r="AH187" s="116"/>
      <c r="AI187" s="116"/>
    </row>
    <row r="188" spans="1:35">
      <c r="A188" s="1102"/>
      <c r="B188" s="1182">
        <v>41745</v>
      </c>
      <c r="C188" s="116"/>
      <c r="D188" s="116"/>
      <c r="E188" s="116"/>
      <c r="F188" s="116"/>
      <c r="G188" s="116"/>
      <c r="H188" s="116"/>
      <c r="I188" s="116"/>
      <c r="J188" s="116"/>
      <c r="K188" s="116"/>
      <c r="L188" s="1058"/>
      <c r="M188" s="1058"/>
      <c r="N188" s="1058"/>
      <c r="O188" s="1058"/>
      <c r="P188" s="1058"/>
      <c r="Q188" s="1058"/>
      <c r="R188" s="1058"/>
      <c r="S188" s="1058"/>
      <c r="T188" s="116"/>
      <c r="U188" s="116"/>
      <c r="V188" s="116"/>
      <c r="W188" s="116"/>
      <c r="X188" s="1058"/>
      <c r="Y188" s="1058"/>
      <c r="Z188" s="1058"/>
      <c r="AA188" s="1058"/>
      <c r="AB188" s="1058"/>
      <c r="AC188" s="1058"/>
      <c r="AD188" s="1058"/>
      <c r="AE188" s="1058"/>
      <c r="AF188" s="116"/>
      <c r="AG188" s="116"/>
      <c r="AH188" s="116"/>
      <c r="AI188" s="116"/>
    </row>
    <row r="189" spans="1:35">
      <c r="A189" s="1102"/>
      <c r="B189" s="1182">
        <v>41746</v>
      </c>
      <c r="C189" s="116">
        <v>2.8</v>
      </c>
      <c r="D189" s="116">
        <v>78</v>
      </c>
      <c r="E189" s="116">
        <v>35100</v>
      </c>
      <c r="F189" s="116"/>
      <c r="G189" s="116">
        <v>47</v>
      </c>
      <c r="H189" s="116">
        <v>5471</v>
      </c>
      <c r="I189" s="116">
        <v>3035</v>
      </c>
      <c r="J189" s="116">
        <v>32</v>
      </c>
      <c r="K189" s="116">
        <v>259</v>
      </c>
      <c r="L189" s="1058">
        <v>1.7</v>
      </c>
      <c r="M189" s="1058">
        <v>64.599999999999994</v>
      </c>
      <c r="N189" s="1058">
        <v>18000</v>
      </c>
      <c r="O189" s="1058">
        <v>28.4</v>
      </c>
      <c r="P189" s="1058">
        <v>1285</v>
      </c>
      <c r="Q189" s="1058">
        <v>196</v>
      </c>
      <c r="R189" s="1058">
        <v>38.700000000000003</v>
      </c>
      <c r="S189" s="1058">
        <v>171</v>
      </c>
      <c r="T189" s="116">
        <v>38.936989169641855</v>
      </c>
      <c r="U189" s="116">
        <v>34.362887379836572</v>
      </c>
      <c r="V189" s="116">
        <v>48.613324576750806</v>
      </c>
      <c r="W189" s="116">
        <v>44.764056733102812</v>
      </c>
      <c r="X189" s="1058">
        <v>1.8</v>
      </c>
      <c r="Y189" s="1058">
        <v>63.1</v>
      </c>
      <c r="Z189" s="1058">
        <v>18700</v>
      </c>
      <c r="AA189" s="1058">
        <v>32.6</v>
      </c>
      <c r="AB189" s="1058">
        <v>2450</v>
      </c>
      <c r="AC189" s="1058">
        <v>733</v>
      </c>
      <c r="AD189" s="1058">
        <v>71</v>
      </c>
      <c r="AE189" s="1058">
        <v>163</v>
      </c>
      <c r="AF189" s="116">
        <v>35.345047356091378</v>
      </c>
      <c r="AG189" s="116">
        <v>37.031062689599302</v>
      </c>
      <c r="AH189" s="116">
        <v>46.853955613070077</v>
      </c>
      <c r="AI189" s="116">
        <v>48.239851698172203</v>
      </c>
    </row>
    <row r="190" spans="1:35">
      <c r="A190" s="1102"/>
      <c r="B190" s="1182">
        <v>41747</v>
      </c>
      <c r="C190" s="116"/>
      <c r="D190" s="116"/>
      <c r="E190" s="116"/>
      <c r="F190" s="116"/>
      <c r="G190" s="116"/>
      <c r="H190" s="116"/>
      <c r="I190" s="116"/>
      <c r="J190" s="116"/>
      <c r="K190" s="116"/>
      <c r="L190" s="1058"/>
      <c r="M190" s="1058"/>
      <c r="N190" s="1058"/>
      <c r="O190" s="1058"/>
      <c r="P190" s="1058"/>
      <c r="Q190" s="1058"/>
      <c r="R190" s="1058"/>
      <c r="S190" s="1058"/>
      <c r="T190" s="116"/>
      <c r="U190" s="116"/>
      <c r="V190" s="116"/>
      <c r="W190" s="116"/>
      <c r="X190" s="1058"/>
      <c r="Y190" s="1058"/>
      <c r="Z190" s="1058"/>
      <c r="AA190" s="1058"/>
      <c r="AB190" s="1058"/>
      <c r="AC190" s="1058"/>
      <c r="AD190" s="1058"/>
      <c r="AE190" s="1058"/>
      <c r="AF190" s="116"/>
      <c r="AG190" s="116"/>
      <c r="AH190" s="116"/>
      <c r="AI190" s="116"/>
    </row>
    <row r="191" spans="1:35">
      <c r="A191" s="1102"/>
      <c r="B191" s="1182">
        <v>41748</v>
      </c>
      <c r="C191" s="116"/>
      <c r="D191" s="116"/>
      <c r="E191" s="116"/>
      <c r="F191" s="116"/>
      <c r="G191" s="116"/>
      <c r="H191" s="116"/>
      <c r="I191" s="116"/>
      <c r="J191" s="116"/>
      <c r="K191" s="116"/>
      <c r="L191" s="1058"/>
      <c r="M191" s="1058"/>
      <c r="N191" s="1058"/>
      <c r="O191" s="1058"/>
      <c r="P191" s="1058"/>
      <c r="Q191" s="1058"/>
      <c r="R191" s="1058"/>
      <c r="S191" s="1058"/>
      <c r="T191" s="116"/>
      <c r="U191" s="116"/>
      <c r="V191" s="116"/>
      <c r="W191" s="116"/>
      <c r="X191" s="1058"/>
      <c r="Y191" s="1058"/>
      <c r="Z191" s="1058"/>
      <c r="AA191" s="1058"/>
      <c r="AB191" s="1058"/>
      <c r="AC191" s="1058"/>
      <c r="AD191" s="1058"/>
      <c r="AE191" s="1058"/>
      <c r="AF191" s="116"/>
      <c r="AG191" s="116"/>
      <c r="AH191" s="116"/>
      <c r="AI191" s="116"/>
    </row>
    <row r="192" spans="1:35">
      <c r="A192" s="1102"/>
      <c r="B192" s="1182">
        <v>41749</v>
      </c>
      <c r="C192" s="116"/>
      <c r="D192" s="116"/>
      <c r="E192" s="116"/>
      <c r="F192" s="116"/>
      <c r="G192" s="116"/>
      <c r="H192" s="116"/>
      <c r="I192" s="116"/>
      <c r="J192" s="116"/>
      <c r="K192" s="116"/>
      <c r="L192" s="1058"/>
      <c r="M192" s="1058"/>
      <c r="N192" s="1058"/>
      <c r="O192" s="1058"/>
      <c r="P192" s="1058"/>
      <c r="Q192" s="1058"/>
      <c r="R192" s="1058"/>
      <c r="S192" s="1058"/>
      <c r="T192" s="116"/>
      <c r="U192" s="116"/>
      <c r="V192" s="116"/>
      <c r="W192" s="116"/>
      <c r="X192" s="1058"/>
      <c r="Y192" s="1058"/>
      <c r="Z192" s="1058"/>
      <c r="AA192" s="1058"/>
      <c r="AB192" s="1058"/>
      <c r="AC192" s="1058"/>
      <c r="AD192" s="1058"/>
      <c r="AE192" s="1058"/>
      <c r="AF192" s="116"/>
      <c r="AG192" s="116"/>
      <c r="AH192" s="116"/>
      <c r="AI192" s="116"/>
    </row>
    <row r="193" spans="1:35">
      <c r="A193" s="1102"/>
      <c r="B193" s="1182">
        <v>41750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058"/>
      <c r="M193" s="1058"/>
      <c r="N193" s="1058"/>
      <c r="O193" s="1058"/>
      <c r="P193" s="1058"/>
      <c r="Q193" s="1058"/>
      <c r="R193" s="1058"/>
      <c r="S193" s="1058"/>
      <c r="T193" s="116"/>
      <c r="U193" s="116"/>
      <c r="V193" s="116"/>
      <c r="W193" s="116"/>
      <c r="X193" s="1058"/>
      <c r="Y193" s="1058"/>
      <c r="Z193" s="1058"/>
      <c r="AA193" s="1058"/>
      <c r="AB193" s="1058"/>
      <c r="AC193" s="1058"/>
      <c r="AD193" s="1058"/>
      <c r="AE193" s="1058"/>
      <c r="AF193" s="116"/>
      <c r="AG193" s="116"/>
      <c r="AH193" s="116"/>
      <c r="AI193" s="116"/>
    </row>
    <row r="194" spans="1:35">
      <c r="A194" s="1102"/>
      <c r="B194" s="1182">
        <v>41751</v>
      </c>
      <c r="C194" s="116"/>
      <c r="D194" s="116"/>
      <c r="E194" s="116"/>
      <c r="F194" s="116"/>
      <c r="G194" s="116"/>
      <c r="H194" s="116"/>
      <c r="I194" s="116"/>
      <c r="J194" s="116"/>
      <c r="K194" s="116"/>
      <c r="L194" s="1058"/>
      <c r="M194" s="1058"/>
      <c r="N194" s="1058"/>
      <c r="O194" s="1058"/>
      <c r="P194" s="1058"/>
      <c r="Q194" s="1058"/>
      <c r="R194" s="1058"/>
      <c r="S194" s="1058"/>
      <c r="T194" s="116"/>
      <c r="U194" s="116"/>
      <c r="V194" s="116"/>
      <c r="W194" s="116"/>
      <c r="X194" s="1058"/>
      <c r="Y194" s="1058"/>
      <c r="Z194" s="1058"/>
      <c r="AA194" s="1058"/>
      <c r="AB194" s="1058"/>
      <c r="AC194" s="1058"/>
      <c r="AD194" s="1058"/>
      <c r="AE194" s="1058"/>
      <c r="AF194" s="116"/>
      <c r="AG194" s="116"/>
      <c r="AH194" s="116"/>
      <c r="AI194" s="116"/>
    </row>
    <row r="195" spans="1:35">
      <c r="A195" s="1102"/>
      <c r="B195" s="1182">
        <v>41752</v>
      </c>
      <c r="C195" s="116"/>
      <c r="D195" s="116"/>
      <c r="E195" s="116"/>
      <c r="F195" s="116"/>
      <c r="G195" s="116"/>
      <c r="H195" s="116"/>
      <c r="I195" s="116"/>
      <c r="J195" s="116"/>
      <c r="K195" s="116"/>
      <c r="L195" s="1058"/>
      <c r="M195" s="1058"/>
      <c r="N195" s="1058"/>
      <c r="O195" s="1058"/>
      <c r="P195" s="1058"/>
      <c r="Q195" s="1058"/>
      <c r="R195" s="1058"/>
      <c r="S195" s="1058"/>
      <c r="T195" s="116"/>
      <c r="U195" s="116"/>
      <c r="V195" s="116"/>
      <c r="W195" s="116"/>
      <c r="X195" s="1058"/>
      <c r="Y195" s="1058"/>
      <c r="Z195" s="1058"/>
      <c r="AA195" s="1058"/>
      <c r="AB195" s="1058"/>
      <c r="AC195" s="1058"/>
      <c r="AD195" s="1058"/>
      <c r="AE195" s="1058"/>
      <c r="AF195" s="116"/>
      <c r="AG195" s="116"/>
      <c r="AH195" s="116"/>
      <c r="AI195" s="116"/>
    </row>
    <row r="196" spans="1:35">
      <c r="A196" s="1102"/>
      <c r="B196" s="1182">
        <v>41753</v>
      </c>
      <c r="C196" s="116">
        <v>3.58</v>
      </c>
      <c r="D196" s="116">
        <v>78.459999999999994</v>
      </c>
      <c r="E196" s="116">
        <v>4760</v>
      </c>
      <c r="F196" s="116"/>
      <c r="G196" s="116"/>
      <c r="H196" s="116">
        <v>7862</v>
      </c>
      <c r="I196" s="116"/>
      <c r="J196" s="116"/>
      <c r="K196" s="116"/>
      <c r="L196" s="1191">
        <v>1.72</v>
      </c>
      <c r="M196" s="1191">
        <v>65.16</v>
      </c>
      <c r="N196" s="1058">
        <v>18300</v>
      </c>
      <c r="O196" s="1058"/>
      <c r="P196" s="1058">
        <v>1940</v>
      </c>
      <c r="Q196" s="1058"/>
      <c r="R196" s="1058"/>
      <c r="S196" s="1058"/>
      <c r="T196" s="116">
        <v>39.691644707877359</v>
      </c>
      <c r="U196" s="116">
        <v>34.128766166653691</v>
      </c>
      <c r="V196" s="116">
        <v>48.998457347615421</v>
      </c>
      <c r="W196" s="116">
        <v>44.294044736527148</v>
      </c>
      <c r="X196" s="1191">
        <v>1.83</v>
      </c>
      <c r="Y196" s="1191">
        <v>62.29</v>
      </c>
      <c r="Z196" s="1058">
        <v>19100</v>
      </c>
      <c r="AA196" s="1058"/>
      <c r="AB196" s="1058">
        <v>2850</v>
      </c>
      <c r="AC196" s="1058"/>
      <c r="AD196" s="1058"/>
      <c r="AE196" s="1058"/>
      <c r="AF196" s="116">
        <v>35.834715008962533</v>
      </c>
      <c r="AG196" s="116">
        <v>39.142036946332922</v>
      </c>
      <c r="AH196" s="116">
        <v>48.12677962631183</v>
      </c>
      <c r="AI196" s="116">
        <v>50.800521973562553</v>
      </c>
    </row>
    <row r="197" spans="1:35">
      <c r="A197" s="1102"/>
      <c r="B197" s="1182">
        <v>41754</v>
      </c>
      <c r="C197" s="116"/>
      <c r="D197" s="116"/>
      <c r="E197" s="116"/>
      <c r="F197" s="116"/>
      <c r="G197" s="116"/>
      <c r="H197" s="116"/>
      <c r="I197" s="116"/>
      <c r="J197" s="116"/>
      <c r="K197" s="116"/>
      <c r="L197" s="1058"/>
      <c r="M197" s="1058"/>
      <c r="N197" s="1058"/>
      <c r="O197" s="1058"/>
      <c r="P197" s="1058"/>
      <c r="Q197" s="1058"/>
      <c r="R197" s="1058"/>
      <c r="S197" s="1058"/>
      <c r="T197" s="116"/>
      <c r="U197" s="116"/>
      <c r="V197" s="116"/>
      <c r="W197" s="116"/>
      <c r="X197" s="1058"/>
      <c r="Y197" s="1058"/>
      <c r="Z197" s="1058"/>
      <c r="AA197" s="1058"/>
      <c r="AB197" s="1058"/>
      <c r="AC197" s="1058"/>
      <c r="AD197" s="1058"/>
      <c r="AE197" s="1058"/>
      <c r="AF197" s="116"/>
      <c r="AG197" s="116"/>
      <c r="AH197" s="116"/>
      <c r="AI197" s="116"/>
    </row>
    <row r="198" spans="1:35">
      <c r="A198" s="1102"/>
      <c r="B198" s="1182">
        <v>41755</v>
      </c>
      <c r="C198" s="116"/>
      <c r="D198" s="116"/>
      <c r="E198" s="116"/>
      <c r="F198" s="116"/>
      <c r="G198" s="116"/>
      <c r="H198" s="116"/>
      <c r="I198" s="116"/>
      <c r="J198" s="116"/>
      <c r="K198" s="116"/>
      <c r="L198" s="1058"/>
      <c r="M198" s="1058"/>
      <c r="N198" s="1058"/>
      <c r="O198" s="1058"/>
      <c r="P198" s="1058"/>
      <c r="Q198" s="1058"/>
      <c r="R198" s="1058"/>
      <c r="S198" s="1058"/>
      <c r="T198" s="116"/>
      <c r="U198" s="116"/>
      <c r="V198" s="116"/>
      <c r="W198" s="116"/>
      <c r="X198" s="1058"/>
      <c r="Y198" s="1058"/>
      <c r="Z198" s="1058"/>
      <c r="AA198" s="1058"/>
      <c r="AB198" s="1058"/>
      <c r="AC198" s="1058"/>
      <c r="AD198" s="1058"/>
      <c r="AE198" s="1058"/>
      <c r="AF198" s="116"/>
      <c r="AG198" s="116"/>
      <c r="AH198" s="116"/>
      <c r="AI198" s="116"/>
    </row>
    <row r="199" spans="1:35">
      <c r="A199" s="1102"/>
      <c r="B199" s="1182">
        <v>41756</v>
      </c>
      <c r="C199" s="116"/>
      <c r="D199" s="116"/>
      <c r="E199" s="116"/>
      <c r="F199" s="116"/>
      <c r="G199" s="116"/>
      <c r="H199" s="116"/>
      <c r="I199" s="116"/>
      <c r="J199" s="116"/>
      <c r="K199" s="116"/>
      <c r="L199" s="1058"/>
      <c r="M199" s="1058"/>
      <c r="N199" s="1058"/>
      <c r="O199" s="1058"/>
      <c r="P199" s="1058"/>
      <c r="Q199" s="1058"/>
      <c r="R199" s="1058"/>
      <c r="S199" s="1058"/>
      <c r="T199" s="116"/>
      <c r="U199" s="116"/>
      <c r="V199" s="116"/>
      <c r="W199" s="116"/>
      <c r="X199" s="1058"/>
      <c r="Y199" s="1058"/>
      <c r="Z199" s="1058"/>
      <c r="AA199" s="1058"/>
      <c r="AB199" s="1058"/>
      <c r="AC199" s="1058"/>
      <c r="AD199" s="1058"/>
      <c r="AE199" s="1058"/>
      <c r="AF199" s="116"/>
      <c r="AG199" s="116"/>
      <c r="AH199" s="116"/>
      <c r="AI199" s="116"/>
    </row>
    <row r="200" spans="1:35">
      <c r="A200" s="1102"/>
      <c r="B200" s="1182">
        <v>41757</v>
      </c>
      <c r="C200" s="116"/>
      <c r="D200" s="116"/>
      <c r="E200" s="116"/>
      <c r="F200" s="116"/>
      <c r="G200" s="116"/>
      <c r="H200" s="116"/>
      <c r="I200" s="116"/>
      <c r="J200" s="116"/>
      <c r="K200" s="116"/>
      <c r="L200" s="1058"/>
      <c r="M200" s="1058"/>
      <c r="N200" s="1058"/>
      <c r="O200" s="1058"/>
      <c r="P200" s="1058"/>
      <c r="Q200" s="1058"/>
      <c r="R200" s="1058"/>
      <c r="S200" s="1058"/>
      <c r="T200" s="116"/>
      <c r="U200" s="116"/>
      <c r="V200" s="116"/>
      <c r="W200" s="116"/>
      <c r="X200" s="1058"/>
      <c r="Y200" s="1058"/>
      <c r="Z200" s="1058"/>
      <c r="AA200" s="1058"/>
      <c r="AB200" s="1058"/>
      <c r="AC200" s="1058"/>
      <c r="AD200" s="1058"/>
      <c r="AE200" s="1058"/>
      <c r="AF200" s="116"/>
      <c r="AG200" s="116"/>
      <c r="AH200" s="116"/>
      <c r="AI200" s="116"/>
    </row>
    <row r="201" spans="1:35">
      <c r="A201" s="1102"/>
      <c r="B201" s="1182">
        <v>41758</v>
      </c>
      <c r="C201" s="116"/>
      <c r="D201" s="116"/>
      <c r="E201" s="116"/>
      <c r="F201" s="116"/>
      <c r="G201" s="116"/>
      <c r="H201" s="116"/>
      <c r="I201" s="116"/>
      <c r="J201" s="116"/>
      <c r="K201" s="116"/>
      <c r="L201" s="1058"/>
      <c r="M201" s="1058"/>
      <c r="N201" s="1058"/>
      <c r="O201" s="1058"/>
      <c r="P201" s="1058"/>
      <c r="Q201" s="1058"/>
      <c r="R201" s="1058"/>
      <c r="S201" s="1058"/>
      <c r="T201" s="116"/>
      <c r="U201" s="116"/>
      <c r="V201" s="116"/>
      <c r="W201" s="116"/>
      <c r="X201" s="1058"/>
      <c r="Y201" s="1058"/>
      <c r="Z201" s="1058"/>
      <c r="AA201" s="1058"/>
      <c r="AB201" s="1058"/>
      <c r="AC201" s="1058"/>
      <c r="AD201" s="1058"/>
      <c r="AE201" s="1058"/>
      <c r="AF201" s="116"/>
      <c r="AG201" s="116"/>
      <c r="AH201" s="116"/>
      <c r="AI201" s="116"/>
    </row>
    <row r="202" spans="1:35">
      <c r="A202" s="1102"/>
      <c r="B202" s="1182">
        <v>41759</v>
      </c>
      <c r="C202" s="116">
        <v>3.9</v>
      </c>
      <c r="D202" s="116">
        <v>79</v>
      </c>
      <c r="E202" s="116">
        <v>51200</v>
      </c>
      <c r="F202" s="116"/>
      <c r="G202" s="116">
        <v>48.1</v>
      </c>
      <c r="H202" s="116">
        <v>9178</v>
      </c>
      <c r="I202" s="116">
        <v>4958</v>
      </c>
      <c r="J202" s="116">
        <v>48.6</v>
      </c>
      <c r="K202" s="116">
        <v>153</v>
      </c>
      <c r="L202" s="1058">
        <v>1.9</v>
      </c>
      <c r="M202" s="1058">
        <v>67.099999999999994</v>
      </c>
      <c r="N202" s="1058">
        <v>19700</v>
      </c>
      <c r="O202" s="1058">
        <v>32</v>
      </c>
      <c r="P202" s="1058">
        <v>890</v>
      </c>
      <c r="Q202" s="1058">
        <v>297</v>
      </c>
      <c r="R202" s="1058">
        <v>61.2</v>
      </c>
      <c r="S202" s="1058">
        <v>198</v>
      </c>
      <c r="T202" s="116">
        <v>36.709060270320762</v>
      </c>
      <c r="U202" s="116">
        <v>31.156419855508044</v>
      </c>
      <c r="V202" s="116">
        <v>45.096358330880783</v>
      </c>
      <c r="W202" s="116">
        <v>40.279552308495433</v>
      </c>
      <c r="X202" s="1195">
        <v>2</v>
      </c>
      <c r="Y202" s="1058">
        <v>65.2</v>
      </c>
      <c r="Z202" s="1058">
        <v>18700</v>
      </c>
      <c r="AA202" s="1058">
        <v>31.5</v>
      </c>
      <c r="AB202" s="1058">
        <v>2634</v>
      </c>
      <c r="AC202" s="1058">
        <v>697</v>
      </c>
      <c r="AD202" s="1058">
        <v>73.3</v>
      </c>
      <c r="AE202" s="1058">
        <v>129</v>
      </c>
      <c r="AF202" s="116">
        <v>33.37795817928501</v>
      </c>
      <c r="AG202" s="116">
        <v>34.915121070293509</v>
      </c>
      <c r="AH202" s="116">
        <v>43.843165160772237</v>
      </c>
      <c r="AI202" s="116">
        <v>45.13886550606717</v>
      </c>
    </row>
    <row r="203" spans="1:35">
      <c r="A203" s="1102"/>
      <c r="B203" s="1182">
        <v>41760</v>
      </c>
      <c r="C203" s="116"/>
      <c r="D203" s="116"/>
      <c r="E203" s="116"/>
      <c r="F203" s="116"/>
      <c r="G203" s="116"/>
      <c r="H203" s="116"/>
      <c r="I203" s="116"/>
      <c r="J203" s="116"/>
      <c r="K203" s="116"/>
      <c r="L203" s="1058"/>
      <c r="M203" s="1058"/>
      <c r="N203" s="1058"/>
      <c r="O203" s="1058"/>
      <c r="P203" s="1058"/>
      <c r="Q203" s="1058"/>
      <c r="R203" s="1058"/>
      <c r="S203" s="1058"/>
      <c r="T203" s="116"/>
      <c r="U203" s="116"/>
      <c r="V203" s="116"/>
      <c r="W203" s="116"/>
      <c r="X203" s="1058"/>
      <c r="Y203" s="1058"/>
      <c r="Z203" s="1058"/>
      <c r="AA203" s="1058"/>
      <c r="AB203" s="1058"/>
      <c r="AC203" s="1058"/>
      <c r="AD203" s="1058"/>
      <c r="AE203" s="1058"/>
      <c r="AF203" s="116"/>
      <c r="AG203" s="116"/>
      <c r="AH203" s="116"/>
      <c r="AI203" s="116"/>
    </row>
    <row r="204" spans="1:35">
      <c r="A204" s="1102"/>
      <c r="B204" s="1182">
        <v>41761</v>
      </c>
      <c r="C204" s="116"/>
      <c r="D204" s="116"/>
      <c r="E204" s="116"/>
      <c r="F204" s="116"/>
      <c r="G204" s="116"/>
      <c r="H204" s="116"/>
      <c r="I204" s="116"/>
      <c r="J204" s="116"/>
      <c r="K204" s="116"/>
      <c r="L204" s="1058"/>
      <c r="M204" s="1058"/>
      <c r="N204" s="1058"/>
      <c r="O204" s="1058"/>
      <c r="P204" s="1058"/>
      <c r="Q204" s="1058"/>
      <c r="R204" s="1058"/>
      <c r="S204" s="1058"/>
      <c r="T204" s="116"/>
      <c r="U204" s="116"/>
      <c r="V204" s="116"/>
      <c r="W204" s="116"/>
      <c r="X204" s="1058"/>
      <c r="Y204" s="1058"/>
      <c r="Z204" s="1058"/>
      <c r="AA204" s="1058"/>
      <c r="AB204" s="1058"/>
      <c r="AC204" s="1058"/>
      <c r="AD204" s="1058"/>
      <c r="AE204" s="1058"/>
      <c r="AF204" s="116"/>
      <c r="AG204" s="116"/>
      <c r="AH204" s="116"/>
      <c r="AI204" s="116"/>
    </row>
    <row r="205" spans="1:35">
      <c r="A205" s="1102"/>
      <c r="B205" s="1182">
        <v>41762</v>
      </c>
      <c r="C205" s="116"/>
      <c r="D205" s="116"/>
      <c r="E205" s="116"/>
      <c r="F205" s="116"/>
      <c r="G205" s="116"/>
      <c r="H205" s="116"/>
      <c r="I205" s="116"/>
      <c r="J205" s="116"/>
      <c r="K205" s="116"/>
      <c r="L205" s="1058"/>
      <c r="M205" s="1058"/>
      <c r="N205" s="1058"/>
      <c r="O205" s="1058"/>
      <c r="P205" s="1058"/>
      <c r="Q205" s="1058"/>
      <c r="R205" s="1058"/>
      <c r="S205" s="1058"/>
      <c r="T205" s="116"/>
      <c r="U205" s="116"/>
      <c r="V205" s="116"/>
      <c r="W205" s="116"/>
      <c r="X205" s="1058"/>
      <c r="Y205" s="1058"/>
      <c r="Z205" s="1058"/>
      <c r="AA205" s="1058"/>
      <c r="AB205" s="1058"/>
      <c r="AC205" s="1058"/>
      <c r="AD205" s="1058"/>
      <c r="AE205" s="1058"/>
      <c r="AF205" s="116"/>
      <c r="AG205" s="116"/>
      <c r="AH205" s="116"/>
      <c r="AI205" s="116"/>
    </row>
    <row r="206" spans="1:35">
      <c r="A206" s="1102"/>
      <c r="B206" s="1182">
        <v>41763</v>
      </c>
      <c r="C206" s="116"/>
      <c r="D206" s="116"/>
      <c r="E206" s="116"/>
      <c r="F206" s="116"/>
      <c r="G206" s="116"/>
      <c r="H206" s="116"/>
      <c r="I206" s="116"/>
      <c r="J206" s="116"/>
      <c r="K206" s="116"/>
      <c r="L206" s="1058"/>
      <c r="M206" s="1058"/>
      <c r="N206" s="1058"/>
      <c r="O206" s="1058"/>
      <c r="P206" s="1058"/>
      <c r="Q206" s="1058"/>
      <c r="R206" s="1058"/>
      <c r="S206" s="1058"/>
      <c r="T206" s="116"/>
      <c r="U206" s="116"/>
      <c r="V206" s="116"/>
      <c r="W206" s="116"/>
      <c r="X206" s="1058"/>
      <c r="Y206" s="1058"/>
      <c r="Z206" s="1058"/>
      <c r="AA206" s="1058"/>
      <c r="AB206" s="1058"/>
      <c r="AC206" s="1058"/>
      <c r="AD206" s="1058"/>
      <c r="AE206" s="1058"/>
      <c r="AF206" s="116"/>
      <c r="AG206" s="116"/>
      <c r="AH206" s="116"/>
      <c r="AI206" s="116"/>
    </row>
    <row r="207" spans="1:35">
      <c r="A207" s="1102"/>
      <c r="B207" s="1182">
        <v>41764</v>
      </c>
      <c r="C207" s="116"/>
      <c r="D207" s="116"/>
      <c r="E207" s="116"/>
      <c r="F207" s="116"/>
      <c r="G207" s="116"/>
      <c r="H207" s="116"/>
      <c r="I207" s="116"/>
      <c r="J207" s="116"/>
      <c r="K207" s="116"/>
      <c r="L207" s="1058"/>
      <c r="M207" s="1058"/>
      <c r="N207" s="1058"/>
      <c r="O207" s="1058"/>
      <c r="P207" s="1058"/>
      <c r="Q207" s="1058"/>
      <c r="R207" s="1058"/>
      <c r="S207" s="1058"/>
      <c r="T207" s="116"/>
      <c r="U207" s="116"/>
      <c r="V207" s="116"/>
      <c r="W207" s="116"/>
      <c r="X207" s="1058"/>
      <c r="Y207" s="1058"/>
      <c r="Z207" s="1058"/>
      <c r="AA207" s="1058"/>
      <c r="AB207" s="1058"/>
      <c r="AC207" s="1058"/>
      <c r="AD207" s="1058"/>
      <c r="AE207" s="1058"/>
      <c r="AF207" s="116"/>
      <c r="AG207" s="116"/>
      <c r="AH207" s="116"/>
      <c r="AI207" s="116"/>
    </row>
    <row r="208" spans="1:35">
      <c r="A208" s="1102"/>
      <c r="B208" s="1182">
        <v>41765</v>
      </c>
      <c r="C208" s="116"/>
      <c r="D208" s="116"/>
      <c r="E208" s="116"/>
      <c r="F208" s="116"/>
      <c r="G208" s="116"/>
      <c r="H208" s="116"/>
      <c r="I208" s="116"/>
      <c r="J208" s="116"/>
      <c r="K208" s="116"/>
      <c r="L208" s="1058"/>
      <c r="M208" s="1058"/>
      <c r="N208" s="1058"/>
      <c r="O208" s="1058"/>
      <c r="P208" s="1058"/>
      <c r="Q208" s="1058"/>
      <c r="R208" s="1058"/>
      <c r="S208" s="1058"/>
      <c r="T208" s="116"/>
      <c r="U208" s="116"/>
      <c r="V208" s="116"/>
      <c r="W208" s="116"/>
      <c r="X208" s="1058"/>
      <c r="Y208" s="1058"/>
      <c r="Z208" s="1058"/>
      <c r="AA208" s="1058"/>
      <c r="AB208" s="1058"/>
      <c r="AC208" s="1058"/>
      <c r="AD208" s="1058"/>
      <c r="AE208" s="1058"/>
      <c r="AF208" s="116"/>
      <c r="AG208" s="116"/>
      <c r="AH208" s="116"/>
      <c r="AI208" s="116"/>
    </row>
    <row r="209" spans="1:35">
      <c r="A209" s="1102"/>
      <c r="B209" s="1182">
        <v>41766</v>
      </c>
      <c r="C209" s="116"/>
      <c r="D209" s="116"/>
      <c r="E209" s="116"/>
      <c r="F209" s="116"/>
      <c r="G209" s="116"/>
      <c r="H209" s="116"/>
      <c r="I209" s="116"/>
      <c r="J209" s="116"/>
      <c r="K209" s="116"/>
      <c r="L209" s="1058"/>
      <c r="M209" s="1058"/>
      <c r="N209" s="1058"/>
      <c r="O209" s="1058"/>
      <c r="P209" s="1058"/>
      <c r="Q209" s="1058"/>
      <c r="R209" s="1058"/>
      <c r="S209" s="1058"/>
      <c r="T209" s="116"/>
      <c r="U209" s="116"/>
      <c r="V209" s="116"/>
      <c r="W209" s="116"/>
      <c r="X209" s="1058"/>
      <c r="Y209" s="1058"/>
      <c r="Z209" s="1058"/>
      <c r="AA209" s="1058"/>
      <c r="AB209" s="1058"/>
      <c r="AC209" s="1058"/>
      <c r="AD209" s="1058"/>
      <c r="AE209" s="1058"/>
      <c r="AF209" s="116"/>
      <c r="AG209" s="116"/>
      <c r="AH209" s="116"/>
      <c r="AI209" s="116"/>
    </row>
    <row r="210" spans="1:35">
      <c r="A210" s="1102"/>
      <c r="B210" s="1182">
        <v>41767</v>
      </c>
      <c r="C210" s="116">
        <v>3.3</v>
      </c>
      <c r="D210" s="116">
        <v>75</v>
      </c>
      <c r="E210" s="116">
        <v>39500</v>
      </c>
      <c r="F210" s="116"/>
      <c r="G210" s="116"/>
      <c r="H210" s="116">
        <v>7659</v>
      </c>
      <c r="I210" s="116"/>
      <c r="J210" s="116"/>
      <c r="K210" s="116"/>
      <c r="L210" s="1058">
        <v>2.1</v>
      </c>
      <c r="M210" s="1058">
        <v>67.3</v>
      </c>
      <c r="N210" s="1058">
        <v>23500</v>
      </c>
      <c r="O210" s="1058"/>
      <c r="P210" s="1058">
        <v>1213</v>
      </c>
      <c r="Q210" s="1058"/>
      <c r="R210" s="1058"/>
      <c r="S210" s="1058"/>
      <c r="T210" s="116">
        <v>31.76179907636763</v>
      </c>
      <c r="U210" s="116">
        <v>31.239441276138567</v>
      </c>
      <c r="V210" s="116">
        <v>40.754520948982019</v>
      </c>
      <c r="W210" s="116">
        <v>40.301001693026826</v>
      </c>
      <c r="X210" s="1058">
        <v>2.1</v>
      </c>
      <c r="Y210" s="1058">
        <v>66.099999999999994</v>
      </c>
      <c r="Z210" s="1058">
        <v>19900</v>
      </c>
      <c r="AA210" s="1058"/>
      <c r="AB210" s="1058">
        <v>2758</v>
      </c>
      <c r="AC210" s="1058"/>
      <c r="AD210" s="1058"/>
      <c r="AE210" s="1058"/>
      <c r="AF210" s="116">
        <v>31.76179907636763</v>
      </c>
      <c r="AG210" s="116">
        <v>33.67344335485933</v>
      </c>
      <c r="AH210" s="116">
        <v>41.810903933546982</v>
      </c>
      <c r="AI210" s="116">
        <v>43.441029743729572</v>
      </c>
    </row>
    <row r="211" spans="1:35">
      <c r="A211" s="1102"/>
      <c r="B211" s="1182">
        <v>41768</v>
      </c>
      <c r="C211" s="116"/>
      <c r="D211" s="116"/>
      <c r="E211" s="116"/>
      <c r="F211" s="116"/>
      <c r="G211" s="116"/>
      <c r="H211" s="116"/>
      <c r="I211" s="116"/>
      <c r="J211" s="116"/>
      <c r="K211" s="116"/>
      <c r="L211" s="1058"/>
      <c r="M211" s="1058"/>
      <c r="N211" s="1058"/>
      <c r="O211" s="1058"/>
      <c r="P211" s="1058"/>
      <c r="Q211" s="1058"/>
      <c r="R211" s="1058"/>
      <c r="S211" s="1058"/>
      <c r="T211" s="116"/>
      <c r="U211" s="116"/>
      <c r="V211" s="116"/>
      <c r="W211" s="116"/>
      <c r="X211" s="1058"/>
      <c r="Y211" s="1058"/>
      <c r="Z211" s="1058"/>
      <c r="AA211" s="1058"/>
      <c r="AB211" s="1058"/>
      <c r="AC211" s="1058"/>
      <c r="AD211" s="1058"/>
      <c r="AE211" s="1058"/>
      <c r="AF211" s="116"/>
      <c r="AG211" s="116"/>
      <c r="AH211" s="116"/>
      <c r="AI211" s="116"/>
    </row>
    <row r="212" spans="1:35">
      <c r="A212" s="1102"/>
      <c r="B212" s="1182">
        <v>41769</v>
      </c>
      <c r="C212" s="116"/>
      <c r="D212" s="116"/>
      <c r="E212" s="116"/>
      <c r="F212" s="116"/>
      <c r="G212" s="116"/>
      <c r="H212" s="116"/>
      <c r="I212" s="116"/>
      <c r="J212" s="116"/>
      <c r="K212" s="116"/>
      <c r="L212" s="1058"/>
      <c r="M212" s="1058"/>
      <c r="N212" s="1058"/>
      <c r="O212" s="1058"/>
      <c r="P212" s="1058"/>
      <c r="Q212" s="1058"/>
      <c r="R212" s="1058"/>
      <c r="S212" s="1058"/>
      <c r="T212" s="116"/>
      <c r="U212" s="116"/>
      <c r="V212" s="116"/>
      <c r="W212" s="116"/>
      <c r="X212" s="1058"/>
      <c r="Y212" s="1058"/>
      <c r="Z212" s="1058"/>
      <c r="AA212" s="1058"/>
      <c r="AB212" s="1058"/>
      <c r="AC212" s="1058"/>
      <c r="AD212" s="1058"/>
      <c r="AE212" s="1058"/>
      <c r="AF212" s="116"/>
      <c r="AG212" s="116"/>
      <c r="AH212" s="116"/>
      <c r="AI212" s="116"/>
    </row>
    <row r="213" spans="1:35">
      <c r="A213" s="1102"/>
      <c r="B213" s="1182">
        <v>41770</v>
      </c>
      <c r="C213" s="116">
        <v>2.9</v>
      </c>
      <c r="D213" s="116">
        <v>76.900000000000006</v>
      </c>
      <c r="E213" s="116"/>
      <c r="F213" s="116"/>
      <c r="G213" s="116"/>
      <c r="H213" s="116"/>
      <c r="I213" s="116"/>
      <c r="J213" s="116"/>
      <c r="K213" s="116"/>
      <c r="L213" s="1191">
        <v>1.94</v>
      </c>
      <c r="M213" s="1191">
        <v>66.7</v>
      </c>
      <c r="N213" s="1058"/>
      <c r="O213" s="1058"/>
      <c r="P213" s="1058"/>
      <c r="Q213" s="1058"/>
      <c r="R213" s="1058"/>
      <c r="S213" s="1058"/>
      <c r="T213" s="116">
        <v>36.340325577120367</v>
      </c>
      <c r="U213" s="116">
        <v>32.208099991883799</v>
      </c>
      <c r="V213" s="116">
        <v>45.158747434938299</v>
      </c>
      <c r="W213" s="116">
        <v>41.598936156759308</v>
      </c>
      <c r="X213" s="1194">
        <v>2</v>
      </c>
      <c r="Y213" s="1191">
        <v>64</v>
      </c>
      <c r="Z213" s="1058"/>
      <c r="AA213" s="1058"/>
      <c r="AB213" s="1058"/>
      <c r="AC213" s="1058"/>
      <c r="AD213" s="1058"/>
      <c r="AE213" s="1058"/>
      <c r="AF213" s="116">
        <v>34.371469667134399</v>
      </c>
      <c r="AG213" s="116">
        <v>37.292492492492514</v>
      </c>
      <c r="AH213" s="116">
        <v>45.751245549947463</v>
      </c>
      <c r="AI213" s="116">
        <v>48.165772420991772</v>
      </c>
    </row>
    <row r="214" spans="1:35">
      <c r="A214" s="1102"/>
      <c r="B214" s="1182">
        <v>41771</v>
      </c>
      <c r="C214" s="116"/>
      <c r="D214" s="116"/>
      <c r="E214" s="116"/>
      <c r="F214" s="116"/>
      <c r="G214" s="116"/>
      <c r="H214" s="116"/>
      <c r="I214" s="116"/>
      <c r="J214" s="116"/>
      <c r="K214" s="116"/>
      <c r="L214" s="1058"/>
      <c r="M214" s="1058"/>
      <c r="N214" s="1058"/>
      <c r="O214" s="1058"/>
      <c r="P214" s="1058"/>
      <c r="Q214" s="1058"/>
      <c r="R214" s="1058"/>
      <c r="S214" s="1058"/>
      <c r="T214" s="116"/>
      <c r="U214" s="116"/>
      <c r="V214" s="116"/>
      <c r="W214" s="116"/>
      <c r="X214" s="1058"/>
      <c r="Y214" s="1058"/>
      <c r="Z214" s="1058"/>
      <c r="AA214" s="1058"/>
      <c r="AB214" s="1058"/>
      <c r="AC214" s="1058"/>
      <c r="AD214" s="1058"/>
      <c r="AE214" s="1058"/>
      <c r="AF214" s="116"/>
      <c r="AG214" s="116"/>
      <c r="AH214" s="116"/>
      <c r="AI214" s="116"/>
    </row>
    <row r="215" spans="1:35">
      <c r="A215" s="1102"/>
      <c r="B215" s="1182">
        <v>41772</v>
      </c>
      <c r="C215" s="116"/>
      <c r="D215" s="116"/>
      <c r="E215" s="116"/>
      <c r="F215" s="116"/>
      <c r="G215" s="116"/>
      <c r="H215" s="116"/>
      <c r="I215" s="116"/>
      <c r="J215" s="116"/>
      <c r="K215" s="116"/>
      <c r="L215" s="1058"/>
      <c r="M215" s="1058"/>
      <c r="N215" s="1058"/>
      <c r="O215" s="1058"/>
      <c r="P215" s="1058"/>
      <c r="Q215" s="1058"/>
      <c r="R215" s="1058"/>
      <c r="S215" s="1058"/>
      <c r="T215" s="116"/>
      <c r="U215" s="116"/>
      <c r="V215" s="116"/>
      <c r="W215" s="116"/>
      <c r="X215" s="1058"/>
      <c r="Y215" s="1058"/>
      <c r="Z215" s="1058"/>
      <c r="AA215" s="1058"/>
      <c r="AB215" s="1058"/>
      <c r="AC215" s="1058"/>
      <c r="AD215" s="1058"/>
      <c r="AE215" s="1058"/>
      <c r="AF215" s="116"/>
      <c r="AG215" s="116"/>
      <c r="AH215" s="116"/>
      <c r="AI215" s="116"/>
    </row>
    <row r="216" spans="1:35">
      <c r="A216" s="1102"/>
      <c r="B216" s="1182">
        <v>41773</v>
      </c>
      <c r="C216" s="116"/>
      <c r="D216" s="116"/>
      <c r="E216" s="116"/>
      <c r="F216" s="116"/>
      <c r="G216" s="116"/>
      <c r="H216" s="116"/>
      <c r="I216" s="116"/>
      <c r="J216" s="116"/>
      <c r="K216" s="116"/>
      <c r="L216" s="1058"/>
      <c r="M216" s="1058"/>
      <c r="N216" s="1058"/>
      <c r="O216" s="1058"/>
      <c r="P216" s="1058"/>
      <c r="Q216" s="1058"/>
      <c r="R216" s="1058"/>
      <c r="S216" s="1058"/>
      <c r="T216" s="116"/>
      <c r="U216" s="116"/>
      <c r="V216" s="116"/>
      <c r="W216" s="116"/>
      <c r="X216" s="1058"/>
      <c r="Y216" s="1058"/>
      <c r="Z216" s="1058"/>
      <c r="AA216" s="1058"/>
      <c r="AB216" s="1058"/>
      <c r="AC216" s="1058"/>
      <c r="AD216" s="1058"/>
      <c r="AE216" s="1058"/>
      <c r="AF216" s="116"/>
      <c r="AG216" s="116"/>
      <c r="AH216" s="116"/>
      <c r="AI216" s="116"/>
    </row>
    <row r="217" spans="1:35">
      <c r="A217" s="1102"/>
      <c r="B217" s="1182">
        <v>41774</v>
      </c>
      <c r="C217" s="116">
        <v>3.1</v>
      </c>
      <c r="D217" s="116">
        <v>76</v>
      </c>
      <c r="E217" s="116">
        <v>36900</v>
      </c>
      <c r="F217" s="116"/>
      <c r="G217" s="116">
        <v>45.5</v>
      </c>
      <c r="H217" s="116">
        <v>7647</v>
      </c>
      <c r="I217" s="116">
        <v>3924</v>
      </c>
      <c r="J217" s="116">
        <v>60</v>
      </c>
      <c r="K217" s="116">
        <v>200</v>
      </c>
      <c r="L217" s="1058">
        <v>2.1</v>
      </c>
      <c r="M217" s="1058">
        <v>68.3</v>
      </c>
      <c r="N217" s="1058">
        <v>22800</v>
      </c>
      <c r="O217" s="1058">
        <v>36.6</v>
      </c>
      <c r="P217" s="1058">
        <v>2165</v>
      </c>
      <c r="Q217" s="1058">
        <v>740</v>
      </c>
      <c r="R217" s="1058">
        <v>78.5</v>
      </c>
      <c r="S217" s="1058">
        <v>133</v>
      </c>
      <c r="T217" s="116">
        <v>30.404929824385384</v>
      </c>
      <c r="U217" s="116">
        <v>27.871600306931555</v>
      </c>
      <c r="V217" s="116">
        <v>38.376547967735284</v>
      </c>
      <c r="W217" s="116">
        <v>36.133393249925454</v>
      </c>
      <c r="X217" s="1058">
        <v>2.2000000000000002</v>
      </c>
      <c r="Y217" s="1058">
        <v>66.7</v>
      </c>
      <c r="Z217" s="1058">
        <v>21600</v>
      </c>
      <c r="AA217" s="1058">
        <v>35.4</v>
      </c>
      <c r="AB217" s="1058">
        <v>2930</v>
      </c>
      <c r="AC217" s="1058">
        <v>719</v>
      </c>
      <c r="AD217" s="1058">
        <v>85.6</v>
      </c>
      <c r="AE217" s="1058">
        <v>115</v>
      </c>
      <c r="AF217" s="116">
        <v>27.09087886364183</v>
      </c>
      <c r="AG217" s="116">
        <v>31.3372291210129</v>
      </c>
      <c r="AH217" s="116">
        <v>36.954435256121279</v>
      </c>
      <c r="AI217" s="116">
        <v>40.62631534332715</v>
      </c>
    </row>
    <row r="218" spans="1:35">
      <c r="A218" s="1102"/>
      <c r="B218" s="1182">
        <v>41775</v>
      </c>
      <c r="C218" s="116"/>
      <c r="D218" s="116"/>
      <c r="E218" s="116"/>
      <c r="F218" s="116"/>
      <c r="G218" s="116"/>
      <c r="H218" s="116"/>
      <c r="I218" s="116"/>
      <c r="J218" s="116"/>
      <c r="K218" s="116"/>
      <c r="L218" s="1058"/>
      <c r="M218" s="1058"/>
      <c r="N218" s="1058"/>
      <c r="O218" s="1058"/>
      <c r="P218" s="1058"/>
      <c r="Q218" s="1058"/>
      <c r="R218" s="1058"/>
      <c r="S218" s="1058"/>
      <c r="T218" s="116"/>
      <c r="U218" s="116"/>
      <c r="V218" s="116"/>
      <c r="W218" s="116"/>
      <c r="X218" s="1058"/>
      <c r="Y218" s="1058"/>
      <c r="Z218" s="1058"/>
      <c r="AA218" s="1058"/>
      <c r="AB218" s="1058"/>
      <c r="AC218" s="1058"/>
      <c r="AD218" s="1058"/>
      <c r="AE218" s="1058"/>
      <c r="AF218" s="116"/>
      <c r="AG218" s="116"/>
      <c r="AH218" s="116"/>
      <c r="AI218" s="116"/>
    </row>
    <row r="219" spans="1:35">
      <c r="A219" s="1102"/>
      <c r="B219" s="1182">
        <v>41776</v>
      </c>
      <c r="C219" s="116"/>
      <c r="D219" s="116"/>
      <c r="E219" s="116"/>
      <c r="F219" s="116"/>
      <c r="G219" s="116"/>
      <c r="H219" s="116"/>
      <c r="I219" s="116"/>
      <c r="J219" s="116"/>
      <c r="K219" s="116"/>
      <c r="L219" s="1058"/>
      <c r="M219" s="1058"/>
      <c r="N219" s="1058"/>
      <c r="O219" s="1058"/>
      <c r="P219" s="1058"/>
      <c r="Q219" s="1058"/>
      <c r="R219" s="1058"/>
      <c r="S219" s="1058"/>
      <c r="T219" s="116"/>
      <c r="U219" s="116"/>
      <c r="V219" s="116"/>
      <c r="W219" s="116"/>
      <c r="X219" s="1058"/>
      <c r="Y219" s="1058"/>
      <c r="Z219" s="1058"/>
      <c r="AA219" s="1058"/>
      <c r="AB219" s="1058"/>
      <c r="AC219" s="1058"/>
      <c r="AD219" s="1058"/>
      <c r="AE219" s="1058"/>
      <c r="AF219" s="116"/>
      <c r="AG219" s="116"/>
      <c r="AH219" s="116"/>
      <c r="AI219" s="116"/>
    </row>
    <row r="220" spans="1:35">
      <c r="A220" s="1102"/>
      <c r="B220" s="1182">
        <v>41777</v>
      </c>
      <c r="C220" s="116"/>
      <c r="D220" s="116"/>
      <c r="E220" s="116"/>
      <c r="F220" s="116"/>
      <c r="G220" s="116"/>
      <c r="H220" s="116"/>
      <c r="I220" s="116"/>
      <c r="J220" s="116"/>
      <c r="K220" s="116"/>
      <c r="L220" s="1058"/>
      <c r="M220" s="1058"/>
      <c r="N220" s="1058"/>
      <c r="O220" s="1058"/>
      <c r="P220" s="1058"/>
      <c r="Q220" s="1058"/>
      <c r="R220" s="1058"/>
      <c r="S220" s="1058"/>
      <c r="T220" s="116"/>
      <c r="U220" s="116"/>
      <c r="V220" s="116"/>
      <c r="W220" s="116"/>
      <c r="X220" s="1058"/>
      <c r="Y220" s="1058"/>
      <c r="Z220" s="1058"/>
      <c r="AA220" s="1058"/>
      <c r="AB220" s="1058"/>
      <c r="AC220" s="1058"/>
      <c r="AD220" s="1058"/>
      <c r="AE220" s="1058"/>
      <c r="AF220" s="116"/>
      <c r="AG220" s="116"/>
      <c r="AH220" s="116"/>
      <c r="AI220" s="116"/>
    </row>
    <row r="221" spans="1:35">
      <c r="A221" s="1102"/>
      <c r="B221" s="1182">
        <v>41778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058"/>
      <c r="M221" s="1058"/>
      <c r="N221" s="1058"/>
      <c r="O221" s="1058"/>
      <c r="P221" s="1058"/>
      <c r="Q221" s="1058"/>
      <c r="R221" s="1058"/>
      <c r="S221" s="1058"/>
      <c r="T221" s="116"/>
      <c r="U221" s="116"/>
      <c r="V221" s="116"/>
      <c r="W221" s="116"/>
      <c r="X221" s="1058"/>
      <c r="Y221" s="1058"/>
      <c r="Z221" s="1058"/>
      <c r="AA221" s="1058"/>
      <c r="AB221" s="1058"/>
      <c r="AC221" s="1058"/>
      <c r="AD221" s="1058"/>
      <c r="AE221" s="1058"/>
      <c r="AF221" s="116"/>
      <c r="AG221" s="116"/>
      <c r="AH221" s="116"/>
      <c r="AI221" s="116"/>
    </row>
    <row r="222" spans="1:35">
      <c r="A222" s="1102"/>
      <c r="B222" s="1182">
        <v>41779</v>
      </c>
      <c r="C222" s="116"/>
      <c r="D222" s="116"/>
      <c r="E222" s="116"/>
      <c r="F222" s="116"/>
      <c r="G222" s="116"/>
      <c r="H222" s="116"/>
      <c r="I222" s="116"/>
      <c r="J222" s="116"/>
      <c r="K222" s="116"/>
      <c r="L222" s="1058"/>
      <c r="M222" s="1058"/>
      <c r="N222" s="1058"/>
      <c r="O222" s="1058"/>
      <c r="P222" s="1058"/>
      <c r="Q222" s="1058"/>
      <c r="R222" s="1058"/>
      <c r="S222" s="1058"/>
      <c r="T222" s="116"/>
      <c r="U222" s="116"/>
      <c r="V222" s="116"/>
      <c r="W222" s="116"/>
      <c r="X222" s="1058"/>
      <c r="Y222" s="1058"/>
      <c r="Z222" s="1058"/>
      <c r="AA222" s="1058"/>
      <c r="AB222" s="1058"/>
      <c r="AC222" s="1058"/>
      <c r="AD222" s="1058"/>
      <c r="AE222" s="1058"/>
      <c r="AF222" s="116"/>
      <c r="AG222" s="116"/>
      <c r="AH222" s="116"/>
      <c r="AI222" s="116"/>
    </row>
    <row r="223" spans="1:35">
      <c r="A223" s="1102"/>
      <c r="B223" s="1182">
        <v>41780</v>
      </c>
      <c r="C223" s="116"/>
      <c r="D223" s="116"/>
      <c r="E223" s="116"/>
      <c r="F223" s="116"/>
      <c r="G223" s="116"/>
      <c r="H223" s="116"/>
      <c r="I223" s="116"/>
      <c r="J223" s="116"/>
      <c r="K223" s="116"/>
      <c r="L223" s="1058"/>
      <c r="M223" s="1058"/>
      <c r="N223" s="1058"/>
      <c r="O223" s="1058"/>
      <c r="P223" s="1058"/>
      <c r="Q223" s="1058"/>
      <c r="R223" s="1058"/>
      <c r="S223" s="1058"/>
      <c r="T223" s="116"/>
      <c r="U223" s="116"/>
      <c r="V223" s="116"/>
      <c r="W223" s="116"/>
      <c r="X223" s="1058"/>
      <c r="Y223" s="1058"/>
      <c r="Z223" s="1058"/>
      <c r="AA223" s="1058"/>
      <c r="AB223" s="1058"/>
      <c r="AC223" s="1058"/>
      <c r="AD223" s="1058"/>
      <c r="AE223" s="1058"/>
      <c r="AF223" s="116"/>
      <c r="AG223" s="116"/>
      <c r="AH223" s="116"/>
      <c r="AI223" s="116"/>
    </row>
    <row r="224" spans="1:35">
      <c r="A224" s="1102"/>
      <c r="B224" s="1182">
        <v>41781</v>
      </c>
      <c r="C224" s="116">
        <v>3.1</v>
      </c>
      <c r="D224" s="116">
        <v>74.8</v>
      </c>
      <c r="E224" s="116">
        <v>38600</v>
      </c>
      <c r="F224" s="116"/>
      <c r="G224" s="116"/>
      <c r="H224" s="116">
        <v>9492</v>
      </c>
      <c r="I224" s="116"/>
      <c r="J224" s="116"/>
      <c r="K224" s="116"/>
      <c r="L224" s="1195">
        <v>2</v>
      </c>
      <c r="M224" s="1058">
        <v>66.2</v>
      </c>
      <c r="N224" s="1058">
        <v>22700</v>
      </c>
      <c r="O224" s="1058"/>
      <c r="P224" s="1058">
        <v>2426</v>
      </c>
      <c r="Q224" s="1058"/>
      <c r="R224" s="1058"/>
      <c r="S224" s="1058"/>
      <c r="T224" s="116">
        <v>33.730947647448659</v>
      </c>
      <c r="U224" s="116">
        <v>32.893491124260343</v>
      </c>
      <c r="V224" s="116">
        <v>43.260155904978149</v>
      </c>
      <c r="W224" s="116">
        <v>42.543122072816601</v>
      </c>
      <c r="X224" s="1058">
        <v>2.2000000000000002</v>
      </c>
      <c r="Y224" s="1058">
        <v>63.2</v>
      </c>
      <c r="Z224" s="1058">
        <v>21500</v>
      </c>
      <c r="AA224" s="1058"/>
      <c r="AB224" s="1058">
        <v>3294</v>
      </c>
      <c r="AC224" s="1058"/>
      <c r="AD224" s="1058"/>
      <c r="AE224" s="1058"/>
      <c r="AF224" s="116">
        <v>27.104042412193518</v>
      </c>
      <c r="AG224" s="116">
        <v>38.364130434782595</v>
      </c>
      <c r="AH224" s="116">
        <v>40.414592726798801</v>
      </c>
      <c r="AI224" s="116">
        <v>49.618627531470814</v>
      </c>
    </row>
    <row r="225" spans="1:35">
      <c r="A225" s="1102"/>
      <c r="B225" s="1182">
        <v>41782</v>
      </c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</row>
    <row r="226" spans="1:35">
      <c r="A226" s="1102"/>
      <c r="B226" s="1184">
        <v>41783</v>
      </c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</row>
    <row r="227" spans="1:35">
      <c r="A227" s="1102"/>
      <c r="B227" s="1184">
        <v>41784</v>
      </c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</row>
    <row r="228" spans="1:35">
      <c r="A228" s="1102"/>
      <c r="B228" s="1184">
        <v>41785</v>
      </c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</row>
    <row r="229" spans="1:35">
      <c r="A229" s="1102"/>
      <c r="B229" s="1184">
        <v>41786</v>
      </c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</row>
    <row r="230" spans="1:35">
      <c r="A230" s="1102"/>
      <c r="B230" s="1184">
        <v>41787</v>
      </c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</row>
    <row r="231" spans="1:35">
      <c r="A231" s="1102"/>
      <c r="B231" s="1184">
        <v>41788</v>
      </c>
      <c r="C231" s="116">
        <v>2.9</v>
      </c>
      <c r="D231" s="116">
        <v>74.400000000000006</v>
      </c>
      <c r="E231" s="116">
        <v>36800</v>
      </c>
      <c r="F231" s="116"/>
      <c r="G231" s="116">
        <v>45.3</v>
      </c>
      <c r="H231" s="116">
        <v>9526</v>
      </c>
      <c r="I231" s="116">
        <v>3684</v>
      </c>
      <c r="J231" s="116">
        <v>70.599999999999994</v>
      </c>
      <c r="K231" s="116">
        <v>144</v>
      </c>
      <c r="L231" s="116">
        <v>2.1</v>
      </c>
      <c r="M231" s="116">
        <v>68.099999999999994</v>
      </c>
      <c r="N231" s="116">
        <v>21800</v>
      </c>
      <c r="O231" s="116">
        <v>31.8</v>
      </c>
      <c r="P231" s="116">
        <v>1422</v>
      </c>
      <c r="Q231" s="116">
        <v>289</v>
      </c>
      <c r="R231" s="116">
        <v>78.7</v>
      </c>
      <c r="S231" s="116">
        <v>136</v>
      </c>
      <c r="T231" s="116">
        <v>31.102362204724418</v>
      </c>
      <c r="U231" s="116">
        <v>27.862068965517206</v>
      </c>
      <c r="V231" s="116">
        <v>39.056357693948826</v>
      </c>
      <c r="W231" s="116">
        <v>36.190145172646666</v>
      </c>
      <c r="X231" s="116">
        <v>2.2000000000000002</v>
      </c>
      <c r="Y231" s="116">
        <v>65</v>
      </c>
      <c r="Z231" s="116">
        <v>21000</v>
      </c>
      <c r="AA231" s="116">
        <v>36.9</v>
      </c>
      <c r="AB231" s="116">
        <v>2741</v>
      </c>
      <c r="AC231" s="116">
        <v>540</v>
      </c>
      <c r="AD231" s="116">
        <v>89.5</v>
      </c>
      <c r="AE231" s="116">
        <v>122</v>
      </c>
      <c r="AF231" s="116">
        <v>27.821522309711291</v>
      </c>
      <c r="AG231" s="116">
        <v>34.251428571428534</v>
      </c>
      <c r="AH231" s="116">
        <v>39.060619189110426</v>
      </c>
      <c r="AI231" s="116">
        <v>44.489308166764353</v>
      </c>
    </row>
    <row r="232" spans="1:35">
      <c r="A232" s="1102"/>
      <c r="B232" s="1184">
        <v>41789</v>
      </c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</row>
    <row r="233" spans="1:35">
      <c r="A233" s="1102"/>
      <c r="B233" s="1184">
        <v>41790</v>
      </c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</row>
    <row r="234" spans="1:35">
      <c r="A234" s="1102"/>
      <c r="B234" s="1184">
        <v>41791</v>
      </c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</row>
    <row r="235" spans="1:35">
      <c r="A235" s="1102"/>
      <c r="B235" s="1184">
        <v>41792</v>
      </c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</row>
    <row r="236" spans="1:35">
      <c r="A236" s="1102"/>
      <c r="B236" s="1184">
        <v>41793</v>
      </c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</row>
    <row r="237" spans="1:35">
      <c r="A237" s="1102"/>
      <c r="B237" s="1184">
        <v>41794</v>
      </c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</row>
    <row r="238" spans="1:35">
      <c r="A238" s="1102"/>
      <c r="B238" s="1184">
        <v>41795</v>
      </c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</row>
    <row r="239" spans="1:35">
      <c r="A239" s="1102"/>
      <c r="B239" s="1184">
        <v>41796</v>
      </c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</row>
    <row r="240" spans="1:35">
      <c r="A240" s="1102"/>
      <c r="B240" s="1184">
        <v>41797</v>
      </c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</row>
    <row r="241" spans="1:35">
      <c r="A241" s="1102"/>
      <c r="B241" s="1184">
        <v>41798</v>
      </c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</row>
    <row r="242" spans="1:35">
      <c r="A242" s="1102"/>
      <c r="B242" s="1184">
        <v>41799</v>
      </c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</row>
    <row r="243" spans="1:35">
      <c r="A243" s="1102"/>
      <c r="B243" s="1184">
        <v>41800</v>
      </c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</row>
    <row r="244" spans="1:35">
      <c r="A244" s="1102"/>
      <c r="B244" s="1184">
        <v>41801</v>
      </c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</row>
    <row r="245" spans="1:35">
      <c r="A245" s="1102"/>
      <c r="B245" s="1184">
        <v>41802</v>
      </c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</row>
    <row r="246" spans="1:35">
      <c r="A246" s="1102"/>
      <c r="B246" s="1184">
        <v>41803</v>
      </c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</row>
    <row r="247" spans="1:35">
      <c r="A247" s="1102"/>
      <c r="B247" s="1184">
        <v>41804</v>
      </c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</row>
    <row r="248" spans="1:35">
      <c r="A248" s="1102"/>
      <c r="B248" s="1184">
        <v>41805</v>
      </c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</row>
    <row r="249" spans="1:35">
      <c r="A249" s="1102"/>
      <c r="B249" s="1184">
        <v>41806</v>
      </c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</row>
    <row r="250" spans="1:35">
      <c r="A250" s="1102"/>
      <c r="B250" s="1184">
        <v>41807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</row>
    <row r="251" spans="1:35">
      <c r="A251" s="1102"/>
      <c r="B251" s="1184">
        <v>41808</v>
      </c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</row>
    <row r="252" spans="1:35">
      <c r="A252" s="1102"/>
      <c r="B252" s="1184">
        <v>41809</v>
      </c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</row>
    <row r="253" spans="1:35">
      <c r="A253" s="1102"/>
      <c r="B253" s="1184">
        <v>41810</v>
      </c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</row>
    <row r="254" spans="1:35">
      <c r="A254" s="1102"/>
      <c r="B254" s="1184">
        <v>41811</v>
      </c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</row>
    <row r="255" spans="1:35">
      <c r="A255" s="1102"/>
      <c r="B255" s="1184">
        <v>41812</v>
      </c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</row>
    <row r="256" spans="1:35">
      <c r="A256" s="1102"/>
      <c r="B256" s="1184">
        <v>41813</v>
      </c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</row>
    <row r="257" spans="1:35">
      <c r="A257" s="1102"/>
      <c r="B257" s="1184">
        <v>41814</v>
      </c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</row>
    <row r="258" spans="1:35">
      <c r="A258" s="1102"/>
      <c r="B258" s="1184">
        <v>41815</v>
      </c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</row>
    <row r="259" spans="1:35">
      <c r="A259" s="1102"/>
      <c r="B259" s="1184">
        <v>41816</v>
      </c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</row>
    <row r="260" spans="1:35">
      <c r="A260" s="1102"/>
      <c r="B260" s="1184">
        <v>41817</v>
      </c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</row>
    <row r="261" spans="1:35">
      <c r="A261" s="1102"/>
      <c r="B261" s="1184">
        <v>41818</v>
      </c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</row>
    <row r="262" spans="1:35">
      <c r="A262" s="1102"/>
      <c r="B262" s="1184">
        <v>41819</v>
      </c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</row>
    <row r="263" spans="1:35">
      <c r="A263" s="1102"/>
      <c r="B263" s="1184">
        <v>41820</v>
      </c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</row>
    <row r="264" spans="1:35">
      <c r="A264" s="1102"/>
      <c r="B264" s="1184">
        <v>41821</v>
      </c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</row>
    <row r="265" spans="1:35">
      <c r="A265" s="1102"/>
      <c r="B265" s="1184">
        <v>41822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</row>
    <row r="266" spans="1:35">
      <c r="A266" s="1102"/>
      <c r="B266" s="1184">
        <v>41823</v>
      </c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</row>
    <row r="267" spans="1:35">
      <c r="A267" s="1102"/>
      <c r="B267" s="1184">
        <v>41824</v>
      </c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</row>
    <row r="268" spans="1:35">
      <c r="A268" s="1102"/>
      <c r="B268" s="1184">
        <v>41825</v>
      </c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</row>
    <row r="269" spans="1:35">
      <c r="A269" s="1102"/>
      <c r="B269" s="1184">
        <v>41826</v>
      </c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</row>
    <row r="270" spans="1:35">
      <c r="A270" s="1102"/>
      <c r="B270" s="1184">
        <v>41827</v>
      </c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</row>
    <row r="271" spans="1:35">
      <c r="A271" s="1102"/>
      <c r="B271" s="1184">
        <v>41828</v>
      </c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</row>
    <row r="272" spans="1:35">
      <c r="A272" s="1102"/>
      <c r="B272" s="1184">
        <v>41829</v>
      </c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</row>
    <row r="273" spans="1:35">
      <c r="A273" s="1102"/>
      <c r="B273" s="1184">
        <v>41830</v>
      </c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</row>
    <row r="274" spans="1:35">
      <c r="A274" s="1102"/>
      <c r="B274" s="1184">
        <v>41831</v>
      </c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</row>
    <row r="275" spans="1:35">
      <c r="A275" s="1102"/>
      <c r="B275" s="1184">
        <v>41832</v>
      </c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</row>
    <row r="276" spans="1:35">
      <c r="A276" s="1102"/>
      <c r="B276" s="1184">
        <v>41833</v>
      </c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</row>
    <row r="277" spans="1:35">
      <c r="A277" s="1102"/>
      <c r="B277" s="1184">
        <v>41834</v>
      </c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</row>
    <row r="278" spans="1:35">
      <c r="A278" s="1102"/>
      <c r="B278" s="1184">
        <v>41835</v>
      </c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</row>
    <row r="279" spans="1:35">
      <c r="A279" s="1102"/>
      <c r="B279" s="1184">
        <v>41836</v>
      </c>
      <c r="C279" s="116">
        <v>3.24</v>
      </c>
      <c r="D279" s="116">
        <v>75.42</v>
      </c>
      <c r="E279" s="116"/>
      <c r="F279" s="116">
        <v>6.74</v>
      </c>
      <c r="G279" s="116"/>
      <c r="H279" s="116"/>
      <c r="I279" s="116"/>
      <c r="J279" s="116"/>
      <c r="K279" s="116"/>
      <c r="L279" s="116">
        <v>1.84</v>
      </c>
      <c r="M279" s="116">
        <v>66.03</v>
      </c>
      <c r="N279" s="116"/>
      <c r="O279" s="116"/>
      <c r="P279" s="116"/>
      <c r="Q279" s="116"/>
      <c r="R279" s="116"/>
      <c r="S279" s="116"/>
      <c r="T279" s="116">
        <v>41.624365482233507</v>
      </c>
      <c r="U279" s="116">
        <v>31.410067706800081</v>
      </c>
      <c r="V279" s="116">
        <v>49.745200166778062</v>
      </c>
      <c r="W279" s="116">
        <v>40.951848379139619</v>
      </c>
      <c r="X279" s="116">
        <v>2.15</v>
      </c>
      <c r="Y279" s="116">
        <v>63.64</v>
      </c>
      <c r="Z279" s="116"/>
      <c r="AA279" s="116"/>
      <c r="AB279" s="116"/>
      <c r="AC279" s="116"/>
      <c r="AD279" s="116"/>
      <c r="AE279" s="116"/>
      <c r="AF279" s="116">
        <v>31.789340101522846</v>
      </c>
      <c r="AG279" s="116">
        <v>35.918591859185888</v>
      </c>
      <c r="AH279" s="116">
        <v>43.403827953858062</v>
      </c>
      <c r="AI279" s="116">
        <v>46.829976348351884</v>
      </c>
    </row>
    <row r="280" spans="1:35">
      <c r="A280" s="1102"/>
      <c r="B280" s="1184">
        <v>41837</v>
      </c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</row>
    <row r="281" spans="1:35">
      <c r="A281" s="1102"/>
      <c r="B281" s="1184">
        <v>41838</v>
      </c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</row>
    <row r="282" spans="1:35">
      <c r="A282" s="1102"/>
      <c r="B282" s="1184">
        <v>41839</v>
      </c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</row>
    <row r="283" spans="1:35">
      <c r="A283" s="1102"/>
      <c r="B283" s="1184">
        <v>41840</v>
      </c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</row>
    <row r="284" spans="1:35">
      <c r="A284" s="1102"/>
      <c r="B284" s="1184">
        <v>41841</v>
      </c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</row>
    <row r="285" spans="1:35">
      <c r="A285" s="1102"/>
      <c r="B285" s="1184">
        <v>41842</v>
      </c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</row>
    <row r="286" spans="1:35">
      <c r="A286" s="1102"/>
      <c r="B286" s="1184">
        <v>41843</v>
      </c>
      <c r="C286" s="116"/>
      <c r="D286" s="116"/>
      <c r="E286" s="116"/>
      <c r="F286" s="116">
        <v>6.87</v>
      </c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</row>
    <row r="287" spans="1:35">
      <c r="A287" s="1102"/>
      <c r="B287" s="1184">
        <v>41844</v>
      </c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</row>
    <row r="288" spans="1:35">
      <c r="A288" s="1102"/>
      <c r="B288" s="1184">
        <v>41845</v>
      </c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</row>
    <row r="289" spans="1:35">
      <c r="A289" s="1102"/>
      <c r="B289" s="1184">
        <v>41846</v>
      </c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</row>
    <row r="290" spans="1:35">
      <c r="A290" s="1102"/>
      <c r="B290" s="1184">
        <v>41847</v>
      </c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</row>
    <row r="291" spans="1:35">
      <c r="A291" s="1102"/>
      <c r="B291" s="1184">
        <v>41848</v>
      </c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</row>
    <row r="292" spans="1:35">
      <c r="A292" s="1102"/>
      <c r="B292" s="1184">
        <v>41849</v>
      </c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</row>
    <row r="293" spans="1:35">
      <c r="A293" s="1102"/>
      <c r="B293" s="1184">
        <v>41850</v>
      </c>
      <c r="C293" s="116">
        <v>2.74</v>
      </c>
      <c r="D293" s="116">
        <v>80.459999999999994</v>
      </c>
      <c r="E293" s="116"/>
      <c r="F293" s="116">
        <v>7.3</v>
      </c>
      <c r="G293" s="116"/>
      <c r="H293" s="116"/>
      <c r="I293" s="116"/>
      <c r="J293" s="116"/>
      <c r="K293" s="116"/>
      <c r="L293" s="116">
        <v>2.09</v>
      </c>
      <c r="M293" s="116">
        <v>73.680000000000007</v>
      </c>
      <c r="N293" s="116"/>
      <c r="O293" s="116"/>
      <c r="P293" s="116"/>
      <c r="Q293" s="116"/>
      <c r="R293" s="116"/>
      <c r="S293" s="116"/>
      <c r="T293" s="116">
        <v>33.77693282636249</v>
      </c>
      <c r="U293" s="116">
        <v>12.021276595744634</v>
      </c>
      <c r="V293" s="116">
        <v>36.503623062911714</v>
      </c>
      <c r="W293" s="1196">
        <v>15.643741340566129</v>
      </c>
      <c r="X293" s="116">
        <v>2.2000000000000002</v>
      </c>
      <c r="Y293" s="116">
        <v>64.2</v>
      </c>
      <c r="Z293" s="116"/>
      <c r="AA293" s="116"/>
      <c r="AB293" s="116"/>
      <c r="AC293" s="116"/>
      <c r="AD293" s="116"/>
      <c r="AE293" s="116"/>
      <c r="AF293" s="116">
        <v>30.291508238276297</v>
      </c>
      <c r="AG293" s="116">
        <v>35.318435754189927</v>
      </c>
      <c r="AH293" s="116">
        <v>41.761423519042971</v>
      </c>
      <c r="AI293" s="116">
        <v>45.961214609065024</v>
      </c>
    </row>
    <row r="294" spans="1:35">
      <c r="A294" s="1102"/>
      <c r="B294" s="1184">
        <v>41851</v>
      </c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</row>
    <row r="295" spans="1:35">
      <c r="A295" s="1102"/>
      <c r="B295" s="1184">
        <v>41852</v>
      </c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</row>
    <row r="296" spans="1:35">
      <c r="A296" s="1102"/>
      <c r="B296" s="1184">
        <v>41853</v>
      </c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</row>
    <row r="297" spans="1:35">
      <c r="A297" s="1102"/>
      <c r="B297" s="1184">
        <v>41854</v>
      </c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</row>
    <row r="298" spans="1:35">
      <c r="A298" s="1102"/>
      <c r="B298" s="1184">
        <v>41855</v>
      </c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</row>
    <row r="299" spans="1:35">
      <c r="A299" s="1102"/>
      <c r="B299" s="1184">
        <v>41856</v>
      </c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</row>
    <row r="300" spans="1:35">
      <c r="A300" s="1102"/>
      <c r="B300" s="1184">
        <v>41857</v>
      </c>
      <c r="C300" s="116">
        <v>2.84</v>
      </c>
      <c r="D300" s="116">
        <v>80.62</v>
      </c>
      <c r="E300" s="116"/>
      <c r="F300" s="116">
        <v>6.91</v>
      </c>
      <c r="G300" s="116"/>
      <c r="H300" s="116"/>
      <c r="I300" s="116"/>
      <c r="J300" s="116"/>
      <c r="K300" s="116"/>
      <c r="L300" s="116">
        <v>2.0299999999999998</v>
      </c>
      <c r="M300" s="116">
        <v>67.349999999999994</v>
      </c>
      <c r="N300" s="116"/>
      <c r="O300" s="116"/>
      <c r="P300" s="116"/>
      <c r="Q300" s="116"/>
      <c r="R300" s="116"/>
      <c r="S300" s="116"/>
      <c r="T300" s="116">
        <v>35.75949367088608</v>
      </c>
      <c r="U300" s="116">
        <v>29.880551301684534</v>
      </c>
      <c r="V300" s="116">
        <v>43.887659828472202</v>
      </c>
      <c r="W300" s="116">
        <v>38.752563097144879</v>
      </c>
      <c r="X300" s="116">
        <v>2.21</v>
      </c>
      <c r="Y300" s="116">
        <v>65.650000000000006</v>
      </c>
      <c r="Z300" s="116"/>
      <c r="AA300" s="116"/>
      <c r="AB300" s="116"/>
      <c r="AC300" s="116"/>
      <c r="AD300" s="116"/>
      <c r="AE300" s="116"/>
      <c r="AF300" s="116">
        <v>30.063291139240508</v>
      </c>
      <c r="AG300" s="116">
        <v>33.350800582241604</v>
      </c>
      <c r="AH300" s="116">
        <v>40.45411593509116</v>
      </c>
      <c r="AI300" s="116">
        <v>43.253184683736166</v>
      </c>
    </row>
    <row r="301" spans="1:35">
      <c r="A301" s="1102"/>
      <c r="B301" s="1184">
        <v>41858</v>
      </c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  <c r="AH301" s="116"/>
      <c r="AI301" s="116"/>
    </row>
    <row r="302" spans="1:35">
      <c r="A302" s="1102"/>
      <c r="B302" s="1184">
        <v>41859</v>
      </c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  <c r="AH302" s="116"/>
      <c r="AI302" s="116"/>
    </row>
    <row r="303" spans="1:35">
      <c r="A303" s="1102"/>
      <c r="B303" s="1184">
        <v>41860</v>
      </c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  <c r="AH303" s="116"/>
      <c r="AI303" s="116"/>
    </row>
    <row r="304" spans="1:35">
      <c r="A304" s="1102"/>
      <c r="B304" s="1184">
        <v>41861</v>
      </c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</row>
    <row r="305" spans="1:35">
      <c r="A305" s="1102"/>
      <c r="B305" s="1184">
        <v>41862</v>
      </c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  <c r="AH305" s="116"/>
      <c r="AI305" s="116"/>
    </row>
    <row r="306" spans="1:35">
      <c r="A306" s="1102"/>
      <c r="B306" s="1184">
        <v>41863</v>
      </c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</row>
    <row r="307" spans="1:35">
      <c r="A307" s="1102"/>
      <c r="B307" s="1184">
        <v>41864</v>
      </c>
      <c r="C307" s="116">
        <v>2.62</v>
      </c>
      <c r="D307" s="116">
        <v>86.04</v>
      </c>
      <c r="E307" s="116"/>
      <c r="F307" s="116"/>
      <c r="G307" s="116"/>
      <c r="H307" s="116"/>
      <c r="I307" s="116"/>
      <c r="J307" s="116"/>
      <c r="K307" s="116"/>
      <c r="L307" s="116">
        <v>1.69</v>
      </c>
      <c r="M307" s="116">
        <v>68.040000000000006</v>
      </c>
      <c r="N307" s="116"/>
      <c r="O307" s="116"/>
      <c r="P307" s="116"/>
      <c r="Q307" s="116"/>
      <c r="R307" s="116"/>
      <c r="S307" s="116"/>
      <c r="T307" s="116">
        <v>44.843342036553523</v>
      </c>
      <c r="U307" s="116">
        <v>30.738423028785931</v>
      </c>
      <c r="V307" s="116">
        <v>51.802386111259402</v>
      </c>
      <c r="W307" s="116">
        <v>39.477066460477168</v>
      </c>
      <c r="X307" s="116">
        <v>1.75</v>
      </c>
      <c r="Y307" s="116">
        <v>68.760000000000005</v>
      </c>
      <c r="Z307" s="116"/>
      <c r="AA307" s="116"/>
      <c r="AB307" s="116"/>
      <c r="AC307" s="116"/>
      <c r="AD307" s="116"/>
      <c r="AE307" s="116"/>
      <c r="AF307" s="116">
        <v>42.885117493472585</v>
      </c>
      <c r="AG307" s="116">
        <v>29.142125480153602</v>
      </c>
      <c r="AH307" s="116">
        <v>49.563093070625378</v>
      </c>
      <c r="AI307" s="116">
        <v>37.426956591176427</v>
      </c>
    </row>
    <row r="308" spans="1:35">
      <c r="A308" s="1102"/>
      <c r="B308" s="1184">
        <v>41865</v>
      </c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</row>
    <row r="309" spans="1:35">
      <c r="A309" s="1102"/>
      <c r="B309" s="1184">
        <v>41866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</row>
    <row r="310" spans="1:35">
      <c r="A310" s="116"/>
      <c r="B310" s="1184">
        <v>41867</v>
      </c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</row>
    <row r="311" spans="1:35">
      <c r="A311" s="116"/>
      <c r="B311" s="1184">
        <v>41868</v>
      </c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  <c r="AH311" s="116"/>
      <c r="AI311" s="116"/>
    </row>
    <row r="312" spans="1:35">
      <c r="A312" s="116"/>
      <c r="B312" s="1184">
        <v>41869</v>
      </c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</row>
    <row r="313" spans="1:35">
      <c r="A313" s="116"/>
      <c r="B313" s="1184">
        <v>41870</v>
      </c>
      <c r="C313" s="116">
        <v>2.62</v>
      </c>
      <c r="D313" s="116">
        <v>72.38</v>
      </c>
      <c r="E313" s="116"/>
      <c r="F313" s="116"/>
      <c r="G313" s="116"/>
      <c r="H313" s="116"/>
      <c r="I313" s="116"/>
      <c r="J313" s="116"/>
      <c r="K313" s="116"/>
      <c r="L313" s="116">
        <v>1.85</v>
      </c>
      <c r="M313" s="116">
        <v>68.69</v>
      </c>
      <c r="N313" s="116"/>
      <c r="O313" s="116"/>
      <c r="P313" s="116"/>
      <c r="Q313" s="116"/>
      <c r="R313" s="116"/>
      <c r="S313" s="116"/>
      <c r="T313" s="116">
        <v>36.989100817438697</v>
      </c>
      <c r="U313" s="116">
        <v>27.186202491216815</v>
      </c>
      <c r="V313" s="116">
        <v>43.936443811687056</v>
      </c>
      <c r="W313" s="116">
        <v>35.214375911526673</v>
      </c>
      <c r="X313" s="116">
        <v>1.71</v>
      </c>
      <c r="Y313" s="116">
        <v>68.53</v>
      </c>
      <c r="Z313" s="116"/>
      <c r="AA313" s="116"/>
      <c r="AB313" s="116"/>
      <c r="AC313" s="116"/>
      <c r="AD313" s="116"/>
      <c r="AE313" s="116"/>
      <c r="AF313" s="116">
        <v>41.757493188010905</v>
      </c>
      <c r="AG313" s="116">
        <v>27.556402923419078</v>
      </c>
      <c r="AH313" s="116">
        <v>48.299798038579134</v>
      </c>
      <c r="AI313" s="116">
        <v>35.693897727285666</v>
      </c>
    </row>
  </sheetData>
  <mergeCells count="9">
    <mergeCell ref="A1:A5"/>
    <mergeCell ref="B1:B5"/>
    <mergeCell ref="C1:I1"/>
    <mergeCell ref="L1:W1"/>
    <mergeCell ref="X1:AI1"/>
    <mergeCell ref="C2:F3"/>
    <mergeCell ref="G2:K3"/>
    <mergeCell ref="T3:W3"/>
    <mergeCell ref="AF3:A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Wykresy</vt:lpstr>
      </vt:variant>
      <vt:variant>
        <vt:i4>10</vt:i4>
      </vt:variant>
    </vt:vector>
  </HeadingPairs>
  <TitlesOfParts>
    <vt:vector size="14" baseType="lpstr">
      <vt:lpstr>DANE</vt:lpstr>
      <vt:lpstr>obliczenia</vt:lpstr>
      <vt:lpstr>roboczy (2)</vt:lpstr>
      <vt:lpstr>roboczy</vt:lpstr>
      <vt:lpstr>Ilość_biogazu_MEZO</vt:lpstr>
      <vt:lpstr>Ilość_biogazu_TERMO</vt:lpstr>
      <vt:lpstr>Wskazniki_MEZO</vt:lpstr>
      <vt:lpstr>Wskazniki_TERMO</vt:lpstr>
      <vt:lpstr>Jakosc osadu_MEZO</vt:lpstr>
      <vt:lpstr>Jakosc osadu_TERMO</vt:lpstr>
      <vt:lpstr>Redukcje_MEZO</vt:lpstr>
      <vt:lpstr>Redukcje_TERMO</vt:lpstr>
      <vt:lpstr>GAZ_MEZO</vt:lpstr>
      <vt:lpstr>GAZ_TERMO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Solecki.Marek</dc:creator>
  <cp:lastModifiedBy>Marek</cp:lastModifiedBy>
  <cp:lastPrinted>2012-10-25T12:39:56Z</cp:lastPrinted>
  <dcterms:created xsi:type="dcterms:W3CDTF">2012-07-03T11:40:51Z</dcterms:created>
  <dcterms:modified xsi:type="dcterms:W3CDTF">2014-09-22T15:26:46Z</dcterms:modified>
</cp:coreProperties>
</file>